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codeName="ThisWorkbook" autoCompressPictures="0"/>
  <bookViews>
    <workbookView xWindow="160" yWindow="0" windowWidth="25600" windowHeight="19820"/>
  </bookViews>
  <sheets>
    <sheet name="Inputs &amp; Outputs" sheetId="4" r:id="rId1"/>
    <sheet name="Tables" sheetId="1" r:id="rId2"/>
    <sheet name="CHP &amp; Energy" sheetId="6" r:id="rId3"/>
    <sheet name="OASC" sheetId="3" r:id="rId4"/>
    <sheet name="Standby" sheetId="2" r:id="rId5"/>
    <sheet name="Issues" sheetId="5" r:id="rId6"/>
  </sheets>
  <definedNames>
    <definedName name="CD_level">'Inputs &amp; Outputs'!$C$17</definedName>
    <definedName name="Chiller_Offset">Tables!$M$55</definedName>
    <definedName name="CHP_Production">'CHP &amp; Energy'!#REF!</definedName>
    <definedName name="City">Tables!$G$47</definedName>
    <definedName name="Demand_Factor">Tables!$P$42</definedName>
    <definedName name="In_Service">'Inputs &amp; Outputs'!$E$30</definedName>
    <definedName name="kWh_on_Peak_Percent">Tables!$M$66</definedName>
    <definedName name="kWh_Volume_Relationships">Tables!$M$66</definedName>
    <definedName name="MAC_Table">Tables!$D$25:$W$36</definedName>
    <definedName name="Min_Draw">'Inputs &amp; Outputs'!$K$26</definedName>
    <definedName name="Nameplate">'Inputs &amp; Outputs'!$E$26</definedName>
    <definedName name="Operating_Hours">Tables!$I$42:$I$43</definedName>
    <definedName name="Phase_In_Dates">Tables!$B$57:$D$61</definedName>
    <definedName name="Price_Decr">Tables!$M$63</definedName>
    <definedName name="Price_Incr">Tables!$M$62</definedName>
    <definedName name="_xlnm.Print_Area" localSheetId="2">'CHP &amp; Energy'!$A$1:$AB$51</definedName>
    <definedName name="_xlnm.Print_Area" localSheetId="0">'Inputs &amp; Outputs'!$A$1:$L$81</definedName>
    <definedName name="_xlnm.Print_Area" localSheetId="5">Issues!$A$1:$J$38</definedName>
    <definedName name="_xlnm.Print_Area" localSheetId="3">OASC!$A$1:$AN$155</definedName>
    <definedName name="_xlnm.Print_Area" localSheetId="4">Standby!$A$1:$AB$134</definedName>
    <definedName name="_xlnm.Print_Area" localSheetId="1">Tables!$A$1:$AV$68</definedName>
    <definedName name="Rate_Table">Tables!$D$6:$AV$17</definedName>
    <definedName name="RPS">Tables!$AB$23</definedName>
    <definedName name="SBC">Tables!$AA$23</definedName>
    <definedName name="Tax">Tables!$K$41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21" i="4" l="1"/>
  <c r="D50" i="4"/>
  <c r="D49" i="4"/>
  <c r="B67" i="4"/>
  <c r="P42" i="1"/>
  <c r="F29" i="2"/>
  <c r="T9" i="6"/>
  <c r="U9" i="6"/>
  <c r="F45" i="2"/>
  <c r="F12" i="2"/>
  <c r="E97" i="2"/>
  <c r="F97" i="2"/>
  <c r="F30" i="2"/>
  <c r="T10" i="6"/>
  <c r="U10" i="6"/>
  <c r="F46" i="2"/>
  <c r="F13" i="2"/>
  <c r="E98" i="2"/>
  <c r="F98" i="2"/>
  <c r="F31" i="2"/>
  <c r="T11" i="6"/>
  <c r="U11" i="6"/>
  <c r="F47" i="2"/>
  <c r="F14" i="2"/>
  <c r="E99" i="2"/>
  <c r="F99" i="2"/>
  <c r="F32" i="2"/>
  <c r="T12" i="6"/>
  <c r="U12" i="6"/>
  <c r="F48" i="2"/>
  <c r="F15" i="2"/>
  <c r="E100" i="2"/>
  <c r="F100" i="2"/>
  <c r="E92" i="2"/>
  <c r="F92" i="2"/>
  <c r="E93" i="2"/>
  <c r="F93" i="2"/>
  <c r="E94" i="2"/>
  <c r="F94" i="2"/>
  <c r="E95" i="2"/>
  <c r="F95" i="2"/>
  <c r="E96" i="2"/>
  <c r="F96" i="2"/>
  <c r="E101" i="2"/>
  <c r="F101" i="2"/>
  <c r="E102" i="2"/>
  <c r="F102" i="2"/>
  <c r="E103" i="2"/>
  <c r="F103" i="2"/>
  <c r="F105" i="2"/>
  <c r="G16" i="4"/>
  <c r="G29" i="2"/>
  <c r="G45" i="2"/>
  <c r="G12" i="2"/>
  <c r="G97" i="2"/>
  <c r="G17" i="4"/>
  <c r="G30" i="2"/>
  <c r="G46" i="2"/>
  <c r="G13" i="2"/>
  <c r="G98" i="2"/>
  <c r="G18" i="4"/>
  <c r="G31" i="2"/>
  <c r="G47" i="2"/>
  <c r="G14" i="2"/>
  <c r="G99" i="2"/>
  <c r="G19" i="4"/>
  <c r="G32" i="2"/>
  <c r="G48" i="2"/>
  <c r="G15" i="2"/>
  <c r="G100" i="2"/>
  <c r="G92" i="2"/>
  <c r="G93" i="2"/>
  <c r="G94" i="2"/>
  <c r="G95" i="2"/>
  <c r="G96" i="2"/>
  <c r="G101" i="2"/>
  <c r="G102" i="2"/>
  <c r="G103" i="2"/>
  <c r="G105" i="2"/>
  <c r="H24" i="2"/>
  <c r="T4" i="6"/>
  <c r="U4" i="6"/>
  <c r="H40" i="2"/>
  <c r="H7" i="2"/>
  <c r="H92" i="2"/>
  <c r="H25" i="2"/>
  <c r="T5" i="6"/>
  <c r="U5" i="6"/>
  <c r="H41" i="2"/>
  <c r="H8" i="2"/>
  <c r="H93" i="2"/>
  <c r="H26" i="2"/>
  <c r="T6" i="6"/>
  <c r="U6" i="6"/>
  <c r="H42" i="2"/>
  <c r="H9" i="2"/>
  <c r="H94" i="2"/>
  <c r="H27" i="2"/>
  <c r="T7" i="6"/>
  <c r="U7" i="6"/>
  <c r="H43" i="2"/>
  <c r="H10" i="2"/>
  <c r="H95" i="2"/>
  <c r="H28" i="2"/>
  <c r="T8" i="6"/>
  <c r="U8" i="6"/>
  <c r="H44" i="2"/>
  <c r="H11" i="2"/>
  <c r="H96" i="2"/>
  <c r="H33" i="2"/>
  <c r="T13" i="6"/>
  <c r="U13" i="6"/>
  <c r="H49" i="2"/>
  <c r="H16" i="2"/>
  <c r="H101" i="2"/>
  <c r="H34" i="2"/>
  <c r="T14" i="6"/>
  <c r="U14" i="6"/>
  <c r="H50" i="2"/>
  <c r="H17" i="2"/>
  <c r="H102" i="2"/>
  <c r="H35" i="2"/>
  <c r="T15" i="6"/>
  <c r="U15" i="6"/>
  <c r="H51" i="2"/>
  <c r="H18" i="2"/>
  <c r="H103" i="2"/>
  <c r="H97" i="2"/>
  <c r="H98" i="2"/>
  <c r="H99" i="2"/>
  <c r="H100" i="2"/>
  <c r="H105" i="2"/>
  <c r="G11" i="4"/>
  <c r="I24" i="2"/>
  <c r="I40" i="2"/>
  <c r="I7" i="2"/>
  <c r="I92" i="2"/>
  <c r="G12" i="4"/>
  <c r="I25" i="2"/>
  <c r="I41" i="2"/>
  <c r="I8" i="2"/>
  <c r="I93" i="2"/>
  <c r="G13" i="4"/>
  <c r="I26" i="2"/>
  <c r="I42" i="2"/>
  <c r="I9" i="2"/>
  <c r="I94" i="2"/>
  <c r="G14" i="4"/>
  <c r="I27" i="2"/>
  <c r="I43" i="2"/>
  <c r="I10" i="2"/>
  <c r="I95" i="2"/>
  <c r="G15" i="4"/>
  <c r="I28" i="2"/>
  <c r="I44" i="2"/>
  <c r="I11" i="2"/>
  <c r="I96" i="2"/>
  <c r="G20" i="4"/>
  <c r="I33" i="2"/>
  <c r="I49" i="2"/>
  <c r="I16" i="2"/>
  <c r="I101" i="2"/>
  <c r="G21" i="4"/>
  <c r="I34" i="2"/>
  <c r="I50" i="2"/>
  <c r="I17" i="2"/>
  <c r="I102" i="2"/>
  <c r="G22" i="4"/>
  <c r="I35" i="2"/>
  <c r="I51" i="2"/>
  <c r="I18" i="2"/>
  <c r="I103" i="2"/>
  <c r="I97" i="2"/>
  <c r="I98" i="2"/>
  <c r="I99" i="2"/>
  <c r="I100" i="2"/>
  <c r="I105" i="2"/>
  <c r="C7" i="2"/>
  <c r="C40" i="2"/>
  <c r="C92" i="2"/>
  <c r="C8" i="2"/>
  <c r="C41" i="2"/>
  <c r="C93" i="2"/>
  <c r="C9" i="2"/>
  <c r="C42" i="2"/>
  <c r="C94" i="2"/>
  <c r="C10" i="2"/>
  <c r="C43" i="2"/>
  <c r="C95" i="2"/>
  <c r="C11" i="2"/>
  <c r="C44" i="2"/>
  <c r="C96" i="2"/>
  <c r="C12" i="2"/>
  <c r="C45" i="2"/>
  <c r="C97" i="2"/>
  <c r="C13" i="2"/>
  <c r="C46" i="2"/>
  <c r="C98" i="2"/>
  <c r="C14" i="2"/>
  <c r="C47" i="2"/>
  <c r="C99" i="2"/>
  <c r="C15" i="2"/>
  <c r="C48" i="2"/>
  <c r="C100" i="2"/>
  <c r="C16" i="2"/>
  <c r="C49" i="2"/>
  <c r="C101" i="2"/>
  <c r="C17" i="2"/>
  <c r="C50" i="2"/>
  <c r="C102" i="2"/>
  <c r="C18" i="2"/>
  <c r="C51" i="2"/>
  <c r="C103" i="2"/>
  <c r="C105" i="2"/>
  <c r="D24" i="2"/>
  <c r="D40" i="2"/>
  <c r="D7" i="2"/>
  <c r="D92" i="2"/>
  <c r="D25" i="2"/>
  <c r="D41" i="2"/>
  <c r="D8" i="2"/>
  <c r="D93" i="2"/>
  <c r="D26" i="2"/>
  <c r="D42" i="2"/>
  <c r="D9" i="2"/>
  <c r="D94" i="2"/>
  <c r="D27" i="2"/>
  <c r="D43" i="2"/>
  <c r="D10" i="2"/>
  <c r="D95" i="2"/>
  <c r="D28" i="2"/>
  <c r="D44" i="2"/>
  <c r="D11" i="2"/>
  <c r="D96" i="2"/>
  <c r="D29" i="2"/>
  <c r="D45" i="2"/>
  <c r="D12" i="2"/>
  <c r="D97" i="2"/>
  <c r="D30" i="2"/>
  <c r="D46" i="2"/>
  <c r="D13" i="2"/>
  <c r="D98" i="2"/>
  <c r="D31" i="2"/>
  <c r="D47" i="2"/>
  <c r="D14" i="2"/>
  <c r="D99" i="2"/>
  <c r="D32" i="2"/>
  <c r="D48" i="2"/>
  <c r="D15" i="2"/>
  <c r="D100" i="2"/>
  <c r="D33" i="2"/>
  <c r="D49" i="2"/>
  <c r="D16" i="2"/>
  <c r="D101" i="2"/>
  <c r="D34" i="2"/>
  <c r="D50" i="2"/>
  <c r="D17" i="2"/>
  <c r="D102" i="2"/>
  <c r="D35" i="2"/>
  <c r="D51" i="2"/>
  <c r="D18" i="2"/>
  <c r="D103" i="2"/>
  <c r="D105" i="2"/>
  <c r="I106" i="2"/>
  <c r="C59" i="4"/>
  <c r="M40" i="2"/>
  <c r="M92" i="2"/>
  <c r="M41" i="2"/>
  <c r="M93" i="2"/>
  <c r="M42" i="2"/>
  <c r="M94" i="2"/>
  <c r="M43" i="2"/>
  <c r="M95" i="2"/>
  <c r="M44" i="2"/>
  <c r="M6" i="2"/>
  <c r="B24" i="1"/>
  <c r="M11" i="2"/>
  <c r="M96" i="2"/>
  <c r="M45" i="2"/>
  <c r="M12" i="2"/>
  <c r="M97" i="2"/>
  <c r="M46" i="2"/>
  <c r="M13" i="2"/>
  <c r="M98" i="2"/>
  <c r="M47" i="2"/>
  <c r="M14" i="2"/>
  <c r="M99" i="2"/>
  <c r="M48" i="2"/>
  <c r="M15" i="2"/>
  <c r="M100" i="2"/>
  <c r="M49" i="2"/>
  <c r="M16" i="2"/>
  <c r="M101" i="2"/>
  <c r="M50" i="2"/>
  <c r="M102" i="2"/>
  <c r="M51" i="2"/>
  <c r="M103" i="2"/>
  <c r="M105" i="2"/>
  <c r="N40" i="2"/>
  <c r="N6" i="2"/>
  <c r="N7" i="2"/>
  <c r="N92" i="2"/>
  <c r="N41" i="2"/>
  <c r="N8" i="2"/>
  <c r="N93" i="2"/>
  <c r="N42" i="2"/>
  <c r="N9" i="2"/>
  <c r="N94" i="2"/>
  <c r="N43" i="2"/>
  <c r="N10" i="2"/>
  <c r="N95" i="2"/>
  <c r="N44" i="2"/>
  <c r="N11" i="2"/>
  <c r="N96" i="2"/>
  <c r="N45" i="2"/>
  <c r="N12" i="2"/>
  <c r="N97" i="2"/>
  <c r="N46" i="2"/>
  <c r="N13" i="2"/>
  <c r="N98" i="2"/>
  <c r="N47" i="2"/>
  <c r="N14" i="2"/>
  <c r="N99" i="2"/>
  <c r="N48" i="2"/>
  <c r="N15" i="2"/>
  <c r="N100" i="2"/>
  <c r="N49" i="2"/>
  <c r="N16" i="2"/>
  <c r="N101" i="2"/>
  <c r="N50" i="2"/>
  <c r="N17" i="2"/>
  <c r="N102" i="2"/>
  <c r="N51" i="2"/>
  <c r="N18" i="2"/>
  <c r="N103" i="2"/>
  <c r="N105" i="2"/>
  <c r="K6" i="2"/>
  <c r="K7" i="2"/>
  <c r="K40" i="2"/>
  <c r="K92" i="2"/>
  <c r="K8" i="2"/>
  <c r="K41" i="2"/>
  <c r="K93" i="2"/>
  <c r="K9" i="2"/>
  <c r="K42" i="2"/>
  <c r="K94" i="2"/>
  <c r="K10" i="2"/>
  <c r="K43" i="2"/>
  <c r="K95" i="2"/>
  <c r="K11" i="2"/>
  <c r="K44" i="2"/>
  <c r="K96" i="2"/>
  <c r="K12" i="2"/>
  <c r="K45" i="2"/>
  <c r="K97" i="2"/>
  <c r="K13" i="2"/>
  <c r="K46" i="2"/>
  <c r="K98" i="2"/>
  <c r="K14" i="2"/>
  <c r="K47" i="2"/>
  <c r="K99" i="2"/>
  <c r="K15" i="2"/>
  <c r="K48" i="2"/>
  <c r="K100" i="2"/>
  <c r="K16" i="2"/>
  <c r="K49" i="2"/>
  <c r="K101" i="2"/>
  <c r="K17" i="2"/>
  <c r="K50" i="2"/>
  <c r="K102" i="2"/>
  <c r="K18" i="2"/>
  <c r="K51" i="2"/>
  <c r="K103" i="2"/>
  <c r="K105" i="2"/>
  <c r="L40" i="2"/>
  <c r="L6" i="2"/>
  <c r="L7" i="2"/>
  <c r="L92" i="2"/>
  <c r="L41" i="2"/>
  <c r="L8" i="2"/>
  <c r="L93" i="2"/>
  <c r="L42" i="2"/>
  <c r="L9" i="2"/>
  <c r="L94" i="2"/>
  <c r="L43" i="2"/>
  <c r="L10" i="2"/>
  <c r="L95" i="2"/>
  <c r="L44" i="2"/>
  <c r="L11" i="2"/>
  <c r="L96" i="2"/>
  <c r="L45" i="2"/>
  <c r="L12" i="2"/>
  <c r="L97" i="2"/>
  <c r="L46" i="2"/>
  <c r="L13" i="2"/>
  <c r="L98" i="2"/>
  <c r="L47" i="2"/>
  <c r="L14" i="2"/>
  <c r="L99" i="2"/>
  <c r="L48" i="2"/>
  <c r="L15" i="2"/>
  <c r="L100" i="2"/>
  <c r="L49" i="2"/>
  <c r="L16" i="2"/>
  <c r="L101" i="2"/>
  <c r="L50" i="2"/>
  <c r="L17" i="2"/>
  <c r="L102" i="2"/>
  <c r="L51" i="2"/>
  <c r="L18" i="2"/>
  <c r="L103" i="2"/>
  <c r="L105" i="2"/>
  <c r="N106" i="2"/>
  <c r="C60" i="4"/>
  <c r="C58" i="4"/>
  <c r="C57" i="4"/>
  <c r="C56" i="4"/>
  <c r="A54" i="4"/>
  <c r="E50" i="4"/>
  <c r="E49" i="4"/>
  <c r="E48" i="4"/>
  <c r="E35" i="4"/>
  <c r="G33" i="1"/>
  <c r="F33" i="1"/>
  <c r="E33" i="1"/>
  <c r="D33" i="1"/>
  <c r="G30" i="1"/>
  <c r="F30" i="1"/>
  <c r="E30" i="1"/>
  <c r="D30" i="1"/>
  <c r="G27" i="1"/>
  <c r="F27" i="1"/>
  <c r="E27" i="1"/>
  <c r="D27" i="1"/>
  <c r="AU17" i="1"/>
  <c r="AT17" i="1"/>
  <c r="I17" i="1"/>
  <c r="H17" i="1"/>
  <c r="G17" i="1"/>
  <c r="F17" i="1"/>
  <c r="E17" i="1"/>
  <c r="D17" i="1"/>
  <c r="AU16" i="1"/>
  <c r="AT16" i="1"/>
  <c r="AU15" i="1"/>
  <c r="AT15" i="1"/>
  <c r="AU14" i="1"/>
  <c r="AT14" i="1"/>
  <c r="I14" i="1"/>
  <c r="H14" i="1"/>
  <c r="G14" i="1"/>
  <c r="F14" i="1"/>
  <c r="E14" i="1"/>
  <c r="D14" i="1"/>
  <c r="AU13" i="1"/>
  <c r="AT13" i="1"/>
  <c r="AU12" i="1"/>
  <c r="AT12" i="1"/>
  <c r="AJ12" i="1"/>
  <c r="AI12" i="1"/>
  <c r="AH12" i="1"/>
  <c r="AG12" i="1"/>
  <c r="AU11" i="1"/>
  <c r="AT11" i="1"/>
  <c r="I11" i="1"/>
  <c r="H11" i="1"/>
  <c r="G11" i="1"/>
  <c r="F11" i="1"/>
  <c r="E11" i="1"/>
  <c r="D11" i="1"/>
  <c r="AU10" i="1"/>
  <c r="AT10" i="1"/>
  <c r="AU9" i="1"/>
  <c r="AT9" i="1"/>
  <c r="AU8" i="1"/>
  <c r="AT8" i="1"/>
  <c r="AQ8" i="1"/>
  <c r="AP8" i="1"/>
  <c r="AO8" i="1"/>
  <c r="AN8" i="1"/>
  <c r="I8" i="1"/>
  <c r="H8" i="1"/>
  <c r="G8" i="1"/>
  <c r="F8" i="1"/>
  <c r="E8" i="1"/>
  <c r="D8" i="1"/>
  <c r="AU7" i="1"/>
  <c r="AT7" i="1"/>
  <c r="AQ7" i="1"/>
  <c r="AP7" i="1"/>
  <c r="AO7" i="1"/>
  <c r="AN7" i="1"/>
  <c r="AU6" i="1"/>
  <c r="AT6" i="1"/>
  <c r="AJ6" i="1"/>
  <c r="AI6" i="1"/>
  <c r="AH6" i="1"/>
  <c r="AG6" i="1"/>
  <c r="J15" i="6"/>
  <c r="P15" i="6"/>
  <c r="Z15" i="6"/>
  <c r="F15" i="6"/>
  <c r="I15" i="6"/>
  <c r="O15" i="6"/>
  <c r="Y15" i="6"/>
  <c r="D15" i="6"/>
  <c r="M15" i="6"/>
  <c r="W15" i="6"/>
  <c r="J14" i="6"/>
  <c r="P14" i="6"/>
  <c r="Z14" i="6"/>
  <c r="F14" i="6"/>
  <c r="I14" i="6"/>
  <c r="O14" i="6"/>
  <c r="Y14" i="6"/>
  <c r="D14" i="6"/>
  <c r="M14" i="6"/>
  <c r="W14" i="6"/>
  <c r="J13" i="6"/>
  <c r="P13" i="6"/>
  <c r="Z13" i="6"/>
  <c r="F13" i="6"/>
  <c r="I13" i="6"/>
  <c r="O13" i="6"/>
  <c r="Y13" i="6"/>
  <c r="D13" i="6"/>
  <c r="M13" i="6"/>
  <c r="W13" i="6"/>
  <c r="J12" i="6"/>
  <c r="P12" i="6"/>
  <c r="Z12" i="6"/>
  <c r="F12" i="6"/>
  <c r="I12" i="6"/>
  <c r="O12" i="6"/>
  <c r="Y12" i="6"/>
  <c r="D12" i="6"/>
  <c r="M12" i="6"/>
  <c r="W12" i="6"/>
  <c r="J11" i="6"/>
  <c r="P11" i="6"/>
  <c r="Z11" i="6"/>
  <c r="F11" i="6"/>
  <c r="I11" i="6"/>
  <c r="O11" i="6"/>
  <c r="Y11" i="6"/>
  <c r="D11" i="6"/>
  <c r="M11" i="6"/>
  <c r="W11" i="6"/>
  <c r="J10" i="6"/>
  <c r="P10" i="6"/>
  <c r="Z10" i="6"/>
  <c r="F10" i="6"/>
  <c r="I10" i="6"/>
  <c r="O10" i="6"/>
  <c r="Y10" i="6"/>
  <c r="D10" i="6"/>
  <c r="M10" i="6"/>
  <c r="W10" i="6"/>
  <c r="J9" i="6"/>
  <c r="P9" i="6"/>
  <c r="Z9" i="6"/>
  <c r="F9" i="6"/>
  <c r="I9" i="6"/>
  <c r="O9" i="6"/>
  <c r="Y9" i="6"/>
  <c r="D9" i="6"/>
  <c r="M9" i="6"/>
  <c r="W9" i="6"/>
  <c r="J8" i="6"/>
  <c r="P8" i="6"/>
  <c r="Z8" i="6"/>
  <c r="F8" i="6"/>
  <c r="I8" i="6"/>
  <c r="O8" i="6"/>
  <c r="Y8" i="6"/>
  <c r="D8" i="6"/>
  <c r="M8" i="6"/>
  <c r="W8" i="6"/>
  <c r="J7" i="6"/>
  <c r="P7" i="6"/>
  <c r="Z7" i="6"/>
  <c r="F7" i="6"/>
  <c r="I7" i="6"/>
  <c r="O7" i="6"/>
  <c r="Y7" i="6"/>
  <c r="D7" i="6"/>
  <c r="M7" i="6"/>
  <c r="W7" i="6"/>
  <c r="J6" i="6"/>
  <c r="P6" i="6"/>
  <c r="Z6" i="6"/>
  <c r="F6" i="6"/>
  <c r="I6" i="6"/>
  <c r="O6" i="6"/>
  <c r="Y6" i="6"/>
  <c r="D6" i="6"/>
  <c r="M6" i="6"/>
  <c r="W6" i="6"/>
  <c r="J5" i="6"/>
  <c r="P5" i="6"/>
  <c r="Z5" i="6"/>
  <c r="F5" i="6"/>
  <c r="I5" i="6"/>
  <c r="O5" i="6"/>
  <c r="Y5" i="6"/>
  <c r="D5" i="6"/>
  <c r="M5" i="6"/>
  <c r="W5" i="6"/>
  <c r="J4" i="6"/>
  <c r="P4" i="6"/>
  <c r="Z4" i="6"/>
  <c r="F4" i="6"/>
  <c r="I4" i="6"/>
  <c r="O4" i="6"/>
  <c r="Y4" i="6"/>
  <c r="D4" i="6"/>
  <c r="M4" i="6"/>
  <c r="W4" i="6"/>
  <c r="T26" i="6"/>
  <c r="T27" i="6"/>
  <c r="T28" i="6"/>
  <c r="T29" i="6"/>
  <c r="T25" i="6"/>
  <c r="D21" i="6"/>
  <c r="F21" i="6"/>
  <c r="G21" i="6"/>
  <c r="D22" i="6"/>
  <c r="F22" i="6"/>
  <c r="G22" i="6"/>
  <c r="D23" i="6"/>
  <c r="F23" i="6"/>
  <c r="G23" i="6"/>
  <c r="D24" i="6"/>
  <c r="F24" i="6"/>
  <c r="G24" i="6"/>
  <c r="D25" i="6"/>
  <c r="F25" i="6"/>
  <c r="G25" i="6"/>
  <c r="D26" i="6"/>
  <c r="F26" i="6"/>
  <c r="G26" i="6"/>
  <c r="D27" i="6"/>
  <c r="F27" i="6"/>
  <c r="G27" i="6"/>
  <c r="D28" i="6"/>
  <c r="F28" i="6"/>
  <c r="G28" i="6"/>
  <c r="D29" i="6"/>
  <c r="F29" i="6"/>
  <c r="G29" i="6"/>
  <c r="D30" i="6"/>
  <c r="F30" i="6"/>
  <c r="G30" i="6"/>
  <c r="D31" i="6"/>
  <c r="F31" i="6"/>
  <c r="G31" i="6"/>
  <c r="D32" i="6"/>
  <c r="F32" i="6"/>
  <c r="G32" i="6"/>
  <c r="I21" i="6"/>
  <c r="I22" i="6"/>
  <c r="I23" i="6"/>
  <c r="I24" i="6"/>
  <c r="I25" i="6"/>
  <c r="I26" i="6"/>
  <c r="I27" i="6"/>
  <c r="I28" i="6"/>
  <c r="I29" i="6"/>
  <c r="I30" i="6"/>
  <c r="I31" i="6"/>
  <c r="I32" i="6"/>
  <c r="K21" i="6"/>
  <c r="L21" i="6"/>
  <c r="K22" i="6"/>
  <c r="L22" i="6"/>
  <c r="K23" i="6"/>
  <c r="L23" i="6"/>
  <c r="K24" i="6"/>
  <c r="L24" i="6"/>
  <c r="K25" i="6"/>
  <c r="L25" i="6"/>
  <c r="K26" i="6"/>
  <c r="L26" i="6"/>
  <c r="K27" i="6"/>
  <c r="L27" i="6"/>
  <c r="K28" i="6"/>
  <c r="L28" i="6"/>
  <c r="K29" i="6"/>
  <c r="L29" i="6"/>
  <c r="K30" i="6"/>
  <c r="L30" i="6"/>
  <c r="K31" i="6"/>
  <c r="L31" i="6"/>
  <c r="K32" i="6"/>
  <c r="L32" i="6"/>
  <c r="R9" i="6"/>
  <c r="AA9" i="6"/>
  <c r="AB9" i="6"/>
  <c r="R10" i="6"/>
  <c r="AA10" i="6"/>
  <c r="AB10" i="6"/>
  <c r="R11" i="6"/>
  <c r="AA11" i="6"/>
  <c r="AB11" i="6"/>
  <c r="R12" i="6"/>
  <c r="AA12" i="6"/>
  <c r="AB12" i="6"/>
  <c r="R4" i="6"/>
  <c r="AA4" i="6"/>
  <c r="AB4" i="6"/>
  <c r="R5" i="6"/>
  <c r="AA5" i="6"/>
  <c r="AB5" i="6"/>
  <c r="R6" i="6"/>
  <c r="AA6" i="6"/>
  <c r="AB6" i="6"/>
  <c r="R7" i="6"/>
  <c r="AA7" i="6"/>
  <c r="AB7" i="6"/>
  <c r="R8" i="6"/>
  <c r="AA8" i="6"/>
  <c r="AB8" i="6"/>
  <c r="R13" i="6"/>
  <c r="AA13" i="6"/>
  <c r="AB13" i="6"/>
  <c r="R14" i="6"/>
  <c r="AA14" i="6"/>
  <c r="AB14" i="6"/>
  <c r="R15" i="6"/>
  <c r="AA15" i="6"/>
  <c r="AB15" i="6"/>
  <c r="N9" i="6"/>
  <c r="N10" i="6"/>
  <c r="N11" i="6"/>
  <c r="N12" i="6"/>
  <c r="P21" i="6"/>
  <c r="P22" i="6"/>
  <c r="P23" i="6"/>
  <c r="P24" i="6"/>
  <c r="P25" i="6"/>
  <c r="P26" i="6"/>
  <c r="P27" i="6"/>
  <c r="P28" i="6"/>
  <c r="P29" i="6"/>
  <c r="P30" i="6"/>
  <c r="P31" i="6"/>
  <c r="P32" i="6"/>
  <c r="N21" i="6"/>
  <c r="Q21" i="6"/>
  <c r="N22" i="6"/>
  <c r="Q22" i="6"/>
  <c r="N23" i="6"/>
  <c r="Q23" i="6"/>
  <c r="N24" i="6"/>
  <c r="Q24" i="6"/>
  <c r="N25" i="6"/>
  <c r="Q25" i="6"/>
  <c r="N26" i="6"/>
  <c r="Q26" i="6"/>
  <c r="N27" i="6"/>
  <c r="Q27" i="6"/>
  <c r="N28" i="6"/>
  <c r="Q28" i="6"/>
  <c r="N29" i="6"/>
  <c r="Q29" i="6"/>
  <c r="N30" i="6"/>
  <c r="Q30" i="6"/>
  <c r="N31" i="6"/>
  <c r="Q31" i="6"/>
  <c r="N32" i="6"/>
  <c r="Q32" i="6"/>
  <c r="V26" i="6"/>
  <c r="W26" i="6"/>
  <c r="Z26" i="6"/>
  <c r="AA26" i="6"/>
  <c r="V27" i="6"/>
  <c r="W27" i="6"/>
  <c r="Z27" i="6"/>
  <c r="AA27" i="6"/>
  <c r="V28" i="6"/>
  <c r="W28" i="6"/>
  <c r="Z28" i="6"/>
  <c r="AA28" i="6"/>
  <c r="V29" i="6"/>
  <c r="W29" i="6"/>
  <c r="Z29" i="6"/>
  <c r="AA29" i="6"/>
  <c r="V21" i="6"/>
  <c r="W21" i="6"/>
  <c r="Z21" i="6"/>
  <c r="AA21" i="6"/>
  <c r="V22" i="6"/>
  <c r="W22" i="6"/>
  <c r="Z22" i="6"/>
  <c r="AA22" i="6"/>
  <c r="V23" i="6"/>
  <c r="W23" i="6"/>
  <c r="Z23" i="6"/>
  <c r="AA23" i="6"/>
  <c r="V24" i="6"/>
  <c r="W24" i="6"/>
  <c r="Z24" i="6"/>
  <c r="AA24" i="6"/>
  <c r="V25" i="6"/>
  <c r="W25" i="6"/>
  <c r="Z25" i="6"/>
  <c r="AA25" i="6"/>
  <c r="V30" i="6"/>
  <c r="W30" i="6"/>
  <c r="Z30" i="6"/>
  <c r="AA30" i="6"/>
  <c r="V31" i="6"/>
  <c r="W31" i="6"/>
  <c r="Z31" i="6"/>
  <c r="AA31" i="6"/>
  <c r="V32" i="6"/>
  <c r="W32" i="6"/>
  <c r="Z32" i="6"/>
  <c r="AA32" i="6"/>
  <c r="X9" i="6"/>
  <c r="X10" i="6"/>
  <c r="X11" i="6"/>
  <c r="X12" i="6"/>
  <c r="X4" i="6"/>
  <c r="N4" i="6"/>
  <c r="X5" i="6"/>
  <c r="N5" i="6"/>
  <c r="X6" i="6"/>
  <c r="N6" i="6"/>
  <c r="X7" i="6"/>
  <c r="N7" i="6"/>
  <c r="X8" i="6"/>
  <c r="N8" i="6"/>
  <c r="X13" i="6"/>
  <c r="N13" i="6"/>
  <c r="X14" i="6"/>
  <c r="N14" i="6"/>
  <c r="X15" i="6"/>
  <c r="N15" i="6"/>
  <c r="Q4" i="6"/>
  <c r="Q5" i="6"/>
  <c r="Q6" i="6"/>
  <c r="Q7" i="6"/>
  <c r="Q8" i="6"/>
  <c r="Q9" i="6"/>
  <c r="Q10" i="6"/>
  <c r="Q11" i="6"/>
  <c r="Q12" i="6"/>
  <c r="Q13" i="6"/>
  <c r="Q14" i="6"/>
  <c r="Q15" i="6"/>
  <c r="D38" i="6"/>
  <c r="F38" i="6"/>
  <c r="W38" i="6"/>
  <c r="D39" i="6"/>
  <c r="F39" i="6"/>
  <c r="W39" i="6"/>
  <c r="D40" i="6"/>
  <c r="F40" i="6"/>
  <c r="W40" i="6"/>
  <c r="D41" i="6"/>
  <c r="F41" i="6"/>
  <c r="W41" i="6"/>
  <c r="D42" i="6"/>
  <c r="F42" i="6"/>
  <c r="W42" i="6"/>
  <c r="D43" i="6"/>
  <c r="F43" i="6"/>
  <c r="W43" i="6"/>
  <c r="D44" i="6"/>
  <c r="F44" i="6"/>
  <c r="W44" i="6"/>
  <c r="D45" i="6"/>
  <c r="F45" i="6"/>
  <c r="W45" i="6"/>
  <c r="D46" i="6"/>
  <c r="F46" i="6"/>
  <c r="W46" i="6"/>
  <c r="D47" i="6"/>
  <c r="F47" i="6"/>
  <c r="W47" i="6"/>
  <c r="D48" i="6"/>
  <c r="F48" i="6"/>
  <c r="W48" i="6"/>
  <c r="D49" i="6"/>
  <c r="F49" i="6"/>
  <c r="W49" i="6"/>
  <c r="W50" i="6"/>
  <c r="E38" i="6"/>
  <c r="G38" i="6"/>
  <c r="Z38" i="6"/>
  <c r="E39" i="6"/>
  <c r="G39" i="6"/>
  <c r="Z39" i="6"/>
  <c r="E40" i="6"/>
  <c r="G40" i="6"/>
  <c r="Z40" i="6"/>
  <c r="E41" i="6"/>
  <c r="G41" i="6"/>
  <c r="Z41" i="6"/>
  <c r="E42" i="6"/>
  <c r="G42" i="6"/>
  <c r="Z42" i="6"/>
  <c r="E43" i="6"/>
  <c r="G43" i="6"/>
  <c r="Z43" i="6"/>
  <c r="E44" i="6"/>
  <c r="G44" i="6"/>
  <c r="Z44" i="6"/>
  <c r="E45" i="6"/>
  <c r="G45" i="6"/>
  <c r="Z45" i="6"/>
  <c r="E46" i="6"/>
  <c r="G46" i="6"/>
  <c r="Z46" i="6"/>
  <c r="E47" i="6"/>
  <c r="G47" i="6"/>
  <c r="Z47" i="6"/>
  <c r="E48" i="6"/>
  <c r="G48" i="6"/>
  <c r="Z48" i="6"/>
  <c r="E49" i="6"/>
  <c r="G49" i="6"/>
  <c r="Z49" i="6"/>
  <c r="Z50" i="6"/>
  <c r="AA51" i="6"/>
  <c r="P16" i="6"/>
  <c r="O16" i="6"/>
  <c r="O22" i="6"/>
  <c r="I33" i="6"/>
  <c r="D1" i="6"/>
  <c r="N39" i="6"/>
  <c r="N40" i="6"/>
  <c r="N41" i="6"/>
  <c r="N42" i="6"/>
  <c r="N43" i="6"/>
  <c r="N44" i="6"/>
  <c r="N45" i="6"/>
  <c r="N46" i="6"/>
  <c r="N47" i="6"/>
  <c r="N48" i="6"/>
  <c r="N49" i="6"/>
  <c r="N38" i="6"/>
  <c r="P39" i="6"/>
  <c r="P40" i="6"/>
  <c r="P41" i="6"/>
  <c r="P42" i="6"/>
  <c r="P43" i="6"/>
  <c r="P44" i="6"/>
  <c r="P45" i="6"/>
  <c r="P46" i="6"/>
  <c r="P47" i="6"/>
  <c r="P48" i="6"/>
  <c r="P49" i="6"/>
  <c r="P38" i="6"/>
  <c r="K39" i="6"/>
  <c r="K40" i="6"/>
  <c r="K41" i="6"/>
  <c r="K42" i="6"/>
  <c r="K43" i="6"/>
  <c r="K44" i="6"/>
  <c r="K45" i="6"/>
  <c r="K46" i="6"/>
  <c r="K47" i="6"/>
  <c r="K48" i="6"/>
  <c r="K49" i="6"/>
  <c r="K38" i="6"/>
  <c r="I39" i="6"/>
  <c r="I40" i="6"/>
  <c r="I41" i="6"/>
  <c r="I42" i="6"/>
  <c r="I43" i="6"/>
  <c r="I44" i="6"/>
  <c r="I45" i="6"/>
  <c r="I46" i="6"/>
  <c r="I47" i="6"/>
  <c r="I48" i="6"/>
  <c r="I49" i="6"/>
  <c r="I38" i="6"/>
  <c r="G50" i="6"/>
  <c r="N50" i="6"/>
  <c r="P50" i="6"/>
  <c r="Q51" i="6"/>
  <c r="J22" i="6"/>
  <c r="J23" i="6"/>
  <c r="J24" i="6"/>
  <c r="J25" i="6"/>
  <c r="J26" i="6"/>
  <c r="J27" i="6"/>
  <c r="J28" i="6"/>
  <c r="J29" i="6"/>
  <c r="J30" i="6"/>
  <c r="J31" i="6"/>
  <c r="J32" i="6"/>
  <c r="J21" i="6"/>
  <c r="I56" i="1"/>
  <c r="K4" i="6"/>
  <c r="D56" i="6"/>
  <c r="I64" i="1"/>
  <c r="K12" i="6"/>
  <c r="D64" i="6"/>
  <c r="I57" i="1"/>
  <c r="K5" i="6"/>
  <c r="D57" i="6"/>
  <c r="I58" i="1"/>
  <c r="K6" i="6"/>
  <c r="I59" i="1"/>
  <c r="K7" i="6"/>
  <c r="D59" i="6"/>
  <c r="I60" i="1"/>
  <c r="K8" i="6"/>
  <c r="D60" i="6"/>
  <c r="I61" i="1"/>
  <c r="K9" i="6"/>
  <c r="D61" i="6"/>
  <c r="I62" i="1"/>
  <c r="K10" i="6"/>
  <c r="D62" i="6"/>
  <c r="I63" i="1"/>
  <c r="K11" i="6"/>
  <c r="I65" i="1"/>
  <c r="K13" i="6"/>
  <c r="D65" i="6"/>
  <c r="I66" i="1"/>
  <c r="K14" i="6"/>
  <c r="D66" i="6"/>
  <c r="I67" i="1"/>
  <c r="K15" i="6"/>
  <c r="D67" i="6"/>
  <c r="C56" i="6"/>
  <c r="C64" i="6"/>
  <c r="C57" i="6"/>
  <c r="C59" i="6"/>
  <c r="C60" i="6"/>
  <c r="C61" i="6"/>
  <c r="C62" i="6"/>
  <c r="C65" i="6"/>
  <c r="C66" i="6"/>
  <c r="C67" i="6"/>
  <c r="O23" i="6"/>
  <c r="O24" i="6"/>
  <c r="O25" i="6"/>
  <c r="O26" i="6"/>
  <c r="O27" i="6"/>
  <c r="O28" i="6"/>
  <c r="O29" i="6"/>
  <c r="O30" i="6"/>
  <c r="O31" i="6"/>
  <c r="O32" i="6"/>
  <c r="O21" i="6"/>
  <c r="U1" i="6"/>
  <c r="F50" i="6"/>
  <c r="R16" i="6"/>
  <c r="G4" i="6"/>
  <c r="G5" i="6"/>
  <c r="G6" i="6"/>
  <c r="G7" i="6"/>
  <c r="G8" i="6"/>
  <c r="G9" i="6"/>
  <c r="G10" i="6"/>
  <c r="G11" i="6"/>
  <c r="G12" i="6"/>
  <c r="G13" i="6"/>
  <c r="G14" i="6"/>
  <c r="G15" i="6"/>
  <c r="C15" i="6"/>
  <c r="C14" i="6"/>
  <c r="C13" i="6"/>
  <c r="C12" i="6"/>
  <c r="C11" i="6"/>
  <c r="C10" i="6"/>
  <c r="C9" i="6"/>
  <c r="C8" i="6"/>
  <c r="C7" i="6"/>
  <c r="C6" i="6"/>
  <c r="C5" i="6"/>
  <c r="C4" i="6"/>
  <c r="I50" i="6"/>
  <c r="AA33" i="6"/>
  <c r="K50" i="6"/>
  <c r="L51" i="6"/>
  <c r="D63" i="6"/>
  <c r="C63" i="6"/>
  <c r="D58" i="6"/>
  <c r="D68" i="6"/>
  <c r="C58" i="6"/>
  <c r="C68" i="6"/>
  <c r="C6" i="3"/>
  <c r="C36" i="3"/>
  <c r="C83" i="3"/>
  <c r="C98" i="3"/>
  <c r="C7" i="3"/>
  <c r="C84" i="3"/>
  <c r="C99" i="3"/>
  <c r="C8" i="3"/>
  <c r="C85" i="3"/>
  <c r="C100" i="3"/>
  <c r="C9" i="3"/>
  <c r="C86" i="3"/>
  <c r="C101" i="3"/>
  <c r="C10" i="3"/>
  <c r="C87" i="3"/>
  <c r="C102" i="3"/>
  <c r="C11" i="3"/>
  <c r="C25" i="3"/>
  <c r="C73" i="3"/>
  <c r="C88" i="3"/>
  <c r="C103" i="3"/>
  <c r="C12" i="3"/>
  <c r="C26" i="3"/>
  <c r="C74" i="3"/>
  <c r="C89" i="3"/>
  <c r="C104" i="3"/>
  <c r="C13" i="3"/>
  <c r="C27" i="3"/>
  <c r="C75" i="3"/>
  <c r="C90" i="3"/>
  <c r="C105" i="3"/>
  <c r="C14" i="3"/>
  <c r="C28" i="3"/>
  <c r="C76" i="3"/>
  <c r="C91" i="3"/>
  <c r="C106" i="3"/>
  <c r="C15" i="3"/>
  <c r="C92" i="3"/>
  <c r="C107" i="3"/>
  <c r="C16" i="3"/>
  <c r="C93" i="3"/>
  <c r="C108" i="3"/>
  <c r="C17" i="3"/>
  <c r="C94" i="3"/>
  <c r="C109" i="3"/>
  <c r="C110" i="3"/>
  <c r="D6" i="3"/>
  <c r="D36" i="3"/>
  <c r="D83" i="3"/>
  <c r="D98" i="3"/>
  <c r="D7" i="3"/>
  <c r="D84" i="3"/>
  <c r="D99" i="3"/>
  <c r="D8" i="3"/>
  <c r="D85" i="3"/>
  <c r="D100" i="3"/>
  <c r="D9" i="3"/>
  <c r="D86" i="3"/>
  <c r="D101" i="3"/>
  <c r="D10" i="3"/>
  <c r="D87" i="3"/>
  <c r="D102" i="3"/>
  <c r="D11" i="3"/>
  <c r="D25" i="3"/>
  <c r="D73" i="3"/>
  <c r="D88" i="3"/>
  <c r="D103" i="3"/>
  <c r="D12" i="3"/>
  <c r="D26" i="3"/>
  <c r="D74" i="3"/>
  <c r="D89" i="3"/>
  <c r="D104" i="3"/>
  <c r="D13" i="3"/>
  <c r="D27" i="3"/>
  <c r="D75" i="3"/>
  <c r="D90" i="3"/>
  <c r="D105" i="3"/>
  <c r="D14" i="3"/>
  <c r="D28" i="3"/>
  <c r="D76" i="3"/>
  <c r="D91" i="3"/>
  <c r="D106" i="3"/>
  <c r="D15" i="3"/>
  <c r="D92" i="3"/>
  <c r="D107" i="3"/>
  <c r="D16" i="3"/>
  <c r="D93" i="3"/>
  <c r="D108" i="3"/>
  <c r="D17" i="3"/>
  <c r="D94" i="3"/>
  <c r="D109" i="3"/>
  <c r="D110" i="3"/>
  <c r="E6" i="3"/>
  <c r="E36" i="3"/>
  <c r="E83" i="3"/>
  <c r="E98" i="3"/>
  <c r="E7" i="3"/>
  <c r="E84" i="3"/>
  <c r="E99" i="3"/>
  <c r="E8" i="3"/>
  <c r="E85" i="3"/>
  <c r="E100" i="3"/>
  <c r="E9" i="3"/>
  <c r="E86" i="3"/>
  <c r="E101" i="3"/>
  <c r="E10" i="3"/>
  <c r="E87" i="3"/>
  <c r="E102" i="3"/>
  <c r="E11" i="3"/>
  <c r="E25" i="3"/>
  <c r="E73" i="3"/>
  <c r="E88" i="3"/>
  <c r="E103" i="3"/>
  <c r="E12" i="3"/>
  <c r="E26" i="3"/>
  <c r="E74" i="3"/>
  <c r="E89" i="3"/>
  <c r="E104" i="3"/>
  <c r="E13" i="3"/>
  <c r="E27" i="3"/>
  <c r="E75" i="3"/>
  <c r="E90" i="3"/>
  <c r="E105" i="3"/>
  <c r="E14" i="3"/>
  <c r="E28" i="3"/>
  <c r="E76" i="3"/>
  <c r="E91" i="3"/>
  <c r="E106" i="3"/>
  <c r="E15" i="3"/>
  <c r="E92" i="3"/>
  <c r="E107" i="3"/>
  <c r="E16" i="3"/>
  <c r="E93" i="3"/>
  <c r="E108" i="3"/>
  <c r="E17" i="3"/>
  <c r="E94" i="3"/>
  <c r="E109" i="3"/>
  <c r="E110" i="3"/>
  <c r="F6" i="3"/>
  <c r="F36" i="3"/>
  <c r="F83" i="3"/>
  <c r="F98" i="3"/>
  <c r="F7" i="3"/>
  <c r="F84" i="3"/>
  <c r="F99" i="3"/>
  <c r="F8" i="3"/>
  <c r="F85" i="3"/>
  <c r="F100" i="3"/>
  <c r="F9" i="3"/>
  <c r="F86" i="3"/>
  <c r="F101" i="3"/>
  <c r="F10" i="3"/>
  <c r="F87" i="3"/>
  <c r="F102" i="3"/>
  <c r="F11" i="3"/>
  <c r="F25" i="3"/>
  <c r="F73" i="3"/>
  <c r="F88" i="3"/>
  <c r="F103" i="3"/>
  <c r="F12" i="3"/>
  <c r="F26" i="3"/>
  <c r="F74" i="3"/>
  <c r="F89" i="3"/>
  <c r="F104" i="3"/>
  <c r="F13" i="3"/>
  <c r="F27" i="3"/>
  <c r="F75" i="3"/>
  <c r="F90" i="3"/>
  <c r="F105" i="3"/>
  <c r="F14" i="3"/>
  <c r="F28" i="3"/>
  <c r="F76" i="3"/>
  <c r="F91" i="3"/>
  <c r="F106" i="3"/>
  <c r="F15" i="3"/>
  <c r="F92" i="3"/>
  <c r="F107" i="3"/>
  <c r="F16" i="3"/>
  <c r="F93" i="3"/>
  <c r="F108" i="3"/>
  <c r="F17" i="3"/>
  <c r="F94" i="3"/>
  <c r="F109" i="3"/>
  <c r="F110" i="3"/>
  <c r="G6" i="3"/>
  <c r="G20" i="3"/>
  <c r="G68" i="3"/>
  <c r="G36" i="3"/>
  <c r="G83" i="3"/>
  <c r="G98" i="3"/>
  <c r="G7" i="3"/>
  <c r="G21" i="3"/>
  <c r="G69" i="3"/>
  <c r="G84" i="3"/>
  <c r="G99" i="3"/>
  <c r="G8" i="3"/>
  <c r="G22" i="3"/>
  <c r="G70" i="3"/>
  <c r="G85" i="3"/>
  <c r="G100" i="3"/>
  <c r="G9" i="3"/>
  <c r="G23" i="3"/>
  <c r="G71" i="3"/>
  <c r="G86" i="3"/>
  <c r="G101" i="3"/>
  <c r="G10" i="3"/>
  <c r="G24" i="3"/>
  <c r="G72" i="3"/>
  <c r="G87" i="3"/>
  <c r="G102" i="3"/>
  <c r="G11" i="3"/>
  <c r="G88" i="3"/>
  <c r="G103" i="3"/>
  <c r="G12" i="3"/>
  <c r="G89" i="3"/>
  <c r="G104" i="3"/>
  <c r="G13" i="3"/>
  <c r="G90" i="3"/>
  <c r="G105" i="3"/>
  <c r="G14" i="3"/>
  <c r="G91" i="3"/>
  <c r="G106" i="3"/>
  <c r="G15" i="3"/>
  <c r="G29" i="3"/>
  <c r="G77" i="3"/>
  <c r="G92" i="3"/>
  <c r="G107" i="3"/>
  <c r="G16" i="3"/>
  <c r="G30" i="3"/>
  <c r="G78" i="3"/>
  <c r="G93" i="3"/>
  <c r="G108" i="3"/>
  <c r="G17" i="3"/>
  <c r="G31" i="3"/>
  <c r="G79" i="3"/>
  <c r="G94" i="3"/>
  <c r="G109" i="3"/>
  <c r="G110" i="3"/>
  <c r="H6" i="3"/>
  <c r="H20" i="3"/>
  <c r="H68" i="3"/>
  <c r="H36" i="3"/>
  <c r="H83" i="3"/>
  <c r="H98" i="3"/>
  <c r="H7" i="3"/>
  <c r="H21" i="3"/>
  <c r="H69" i="3"/>
  <c r="H84" i="3"/>
  <c r="H99" i="3"/>
  <c r="H8" i="3"/>
  <c r="H22" i="3"/>
  <c r="H70" i="3"/>
  <c r="H85" i="3"/>
  <c r="H100" i="3"/>
  <c r="H9" i="3"/>
  <c r="H23" i="3"/>
  <c r="H71" i="3"/>
  <c r="H86" i="3"/>
  <c r="H101" i="3"/>
  <c r="H10" i="3"/>
  <c r="H24" i="3"/>
  <c r="H72" i="3"/>
  <c r="H87" i="3"/>
  <c r="H102" i="3"/>
  <c r="H11" i="3"/>
  <c r="H88" i="3"/>
  <c r="H103" i="3"/>
  <c r="H12" i="3"/>
  <c r="H89" i="3"/>
  <c r="H104" i="3"/>
  <c r="H13" i="3"/>
  <c r="H90" i="3"/>
  <c r="H105" i="3"/>
  <c r="H14" i="3"/>
  <c r="H91" i="3"/>
  <c r="H106" i="3"/>
  <c r="H15" i="3"/>
  <c r="H29" i="3"/>
  <c r="H77" i="3"/>
  <c r="H92" i="3"/>
  <c r="H107" i="3"/>
  <c r="H16" i="3"/>
  <c r="H30" i="3"/>
  <c r="H78" i="3"/>
  <c r="H93" i="3"/>
  <c r="H108" i="3"/>
  <c r="H17" i="3"/>
  <c r="H31" i="3"/>
  <c r="H79" i="3"/>
  <c r="H94" i="3"/>
  <c r="H109" i="3"/>
  <c r="H110" i="3"/>
  <c r="I6" i="3"/>
  <c r="I20" i="3"/>
  <c r="I68" i="3"/>
  <c r="I36" i="3"/>
  <c r="I83" i="3"/>
  <c r="I98" i="3"/>
  <c r="I7" i="3"/>
  <c r="I21" i="3"/>
  <c r="I69" i="3"/>
  <c r="I84" i="3"/>
  <c r="I99" i="3"/>
  <c r="I8" i="3"/>
  <c r="I22" i="3"/>
  <c r="I70" i="3"/>
  <c r="I85" i="3"/>
  <c r="I100" i="3"/>
  <c r="I9" i="3"/>
  <c r="I23" i="3"/>
  <c r="I71" i="3"/>
  <c r="I86" i="3"/>
  <c r="I101" i="3"/>
  <c r="I10" i="3"/>
  <c r="I24" i="3"/>
  <c r="I72" i="3"/>
  <c r="I87" i="3"/>
  <c r="I102" i="3"/>
  <c r="I11" i="3"/>
  <c r="I88" i="3"/>
  <c r="I103" i="3"/>
  <c r="I12" i="3"/>
  <c r="I89" i="3"/>
  <c r="I104" i="3"/>
  <c r="I13" i="3"/>
  <c r="I90" i="3"/>
  <c r="I105" i="3"/>
  <c r="I14" i="3"/>
  <c r="I91" i="3"/>
  <c r="I106" i="3"/>
  <c r="I15" i="3"/>
  <c r="I29" i="3"/>
  <c r="I77" i="3"/>
  <c r="I92" i="3"/>
  <c r="I107" i="3"/>
  <c r="I16" i="3"/>
  <c r="I30" i="3"/>
  <c r="I78" i="3"/>
  <c r="I93" i="3"/>
  <c r="I108" i="3"/>
  <c r="I17" i="3"/>
  <c r="I31" i="3"/>
  <c r="I79" i="3"/>
  <c r="I94" i="3"/>
  <c r="I109" i="3"/>
  <c r="I110" i="3"/>
  <c r="J6" i="3"/>
  <c r="J20" i="3"/>
  <c r="J68" i="3"/>
  <c r="J36" i="3"/>
  <c r="J83" i="3"/>
  <c r="J98" i="3"/>
  <c r="J7" i="3"/>
  <c r="J21" i="3"/>
  <c r="J69" i="3"/>
  <c r="J84" i="3"/>
  <c r="J99" i="3"/>
  <c r="J8" i="3"/>
  <c r="J22" i="3"/>
  <c r="J70" i="3"/>
  <c r="J85" i="3"/>
  <c r="J100" i="3"/>
  <c r="J9" i="3"/>
  <c r="J23" i="3"/>
  <c r="J71" i="3"/>
  <c r="J86" i="3"/>
  <c r="J101" i="3"/>
  <c r="J10" i="3"/>
  <c r="J24" i="3"/>
  <c r="J72" i="3"/>
  <c r="J87" i="3"/>
  <c r="J102" i="3"/>
  <c r="J11" i="3"/>
  <c r="J88" i="3"/>
  <c r="J103" i="3"/>
  <c r="J12" i="3"/>
  <c r="J89" i="3"/>
  <c r="J104" i="3"/>
  <c r="J13" i="3"/>
  <c r="J90" i="3"/>
  <c r="J105" i="3"/>
  <c r="J14" i="3"/>
  <c r="J91" i="3"/>
  <c r="J106" i="3"/>
  <c r="J15" i="3"/>
  <c r="J29" i="3"/>
  <c r="J77" i="3"/>
  <c r="J92" i="3"/>
  <c r="J107" i="3"/>
  <c r="J16" i="3"/>
  <c r="J30" i="3"/>
  <c r="J78" i="3"/>
  <c r="J93" i="3"/>
  <c r="J108" i="3"/>
  <c r="J17" i="3"/>
  <c r="J31" i="3"/>
  <c r="J79" i="3"/>
  <c r="J94" i="3"/>
  <c r="J109" i="3"/>
  <c r="J110" i="3"/>
  <c r="K6" i="3"/>
  <c r="K98" i="3"/>
  <c r="K7" i="3"/>
  <c r="K99" i="3"/>
  <c r="K8" i="3"/>
  <c r="K100" i="3"/>
  <c r="K9" i="3"/>
  <c r="K101" i="3"/>
  <c r="K10" i="3"/>
  <c r="K102" i="3"/>
  <c r="K11" i="3"/>
  <c r="K25" i="3"/>
  <c r="K73" i="3"/>
  <c r="K103" i="3"/>
  <c r="K12" i="3"/>
  <c r="K26" i="3"/>
  <c r="K74" i="3"/>
  <c r="K104" i="3"/>
  <c r="K13" i="3"/>
  <c r="K27" i="3"/>
  <c r="K75" i="3"/>
  <c r="K105" i="3"/>
  <c r="K14" i="3"/>
  <c r="K28" i="3"/>
  <c r="K76" i="3"/>
  <c r="K106" i="3"/>
  <c r="K15" i="3"/>
  <c r="K107" i="3"/>
  <c r="K16" i="3"/>
  <c r="K108" i="3"/>
  <c r="K17" i="3"/>
  <c r="K109" i="3"/>
  <c r="K110" i="3"/>
  <c r="L6" i="3"/>
  <c r="L98" i="3"/>
  <c r="L7" i="3"/>
  <c r="L99" i="3"/>
  <c r="L8" i="3"/>
  <c r="L100" i="3"/>
  <c r="L9" i="3"/>
  <c r="L101" i="3"/>
  <c r="L10" i="3"/>
  <c r="L102" i="3"/>
  <c r="L11" i="3"/>
  <c r="L25" i="3"/>
  <c r="L73" i="3"/>
  <c r="L103" i="3"/>
  <c r="L12" i="3"/>
  <c r="L26" i="3"/>
  <c r="L74" i="3"/>
  <c r="L104" i="3"/>
  <c r="L13" i="3"/>
  <c r="L27" i="3"/>
  <c r="L75" i="3"/>
  <c r="L105" i="3"/>
  <c r="L14" i="3"/>
  <c r="L28" i="3"/>
  <c r="L76" i="3"/>
  <c r="L106" i="3"/>
  <c r="L15" i="3"/>
  <c r="L107" i="3"/>
  <c r="L16" i="3"/>
  <c r="L108" i="3"/>
  <c r="L17" i="3"/>
  <c r="L109" i="3"/>
  <c r="L110" i="3"/>
  <c r="M6" i="3"/>
  <c r="M98" i="3"/>
  <c r="M7" i="3"/>
  <c r="M99" i="3"/>
  <c r="M8" i="3"/>
  <c r="M100" i="3"/>
  <c r="M9" i="3"/>
  <c r="M101" i="3"/>
  <c r="M10" i="3"/>
  <c r="M102" i="3"/>
  <c r="M11" i="3"/>
  <c r="M25" i="3"/>
  <c r="M73" i="3"/>
  <c r="M103" i="3"/>
  <c r="M12" i="3"/>
  <c r="M26" i="3"/>
  <c r="M74" i="3"/>
  <c r="M104" i="3"/>
  <c r="M13" i="3"/>
  <c r="M27" i="3"/>
  <c r="M75" i="3"/>
  <c r="M105" i="3"/>
  <c r="M14" i="3"/>
  <c r="M28" i="3"/>
  <c r="M76" i="3"/>
  <c r="M106" i="3"/>
  <c r="M15" i="3"/>
  <c r="M107" i="3"/>
  <c r="M16" i="3"/>
  <c r="M108" i="3"/>
  <c r="M17" i="3"/>
  <c r="M109" i="3"/>
  <c r="M110" i="3"/>
  <c r="N6" i="3"/>
  <c r="N20" i="3"/>
  <c r="N68" i="3"/>
  <c r="N98" i="3"/>
  <c r="N7" i="3"/>
  <c r="N21" i="3"/>
  <c r="N69" i="3"/>
  <c r="N99" i="3"/>
  <c r="N8" i="3"/>
  <c r="N22" i="3"/>
  <c r="N70" i="3"/>
  <c r="N100" i="3"/>
  <c r="N9" i="3"/>
  <c r="N23" i="3"/>
  <c r="N71" i="3"/>
  <c r="N101" i="3"/>
  <c r="N10" i="3"/>
  <c r="N24" i="3"/>
  <c r="N72" i="3"/>
  <c r="N102" i="3"/>
  <c r="N11" i="3"/>
  <c r="N103" i="3"/>
  <c r="N12" i="3"/>
  <c r="N104" i="3"/>
  <c r="N13" i="3"/>
  <c r="N105" i="3"/>
  <c r="N14" i="3"/>
  <c r="N106" i="3"/>
  <c r="N15" i="3"/>
  <c r="N29" i="3"/>
  <c r="N77" i="3"/>
  <c r="N107" i="3"/>
  <c r="N16" i="3"/>
  <c r="N30" i="3"/>
  <c r="N78" i="3"/>
  <c r="N108" i="3"/>
  <c r="N17" i="3"/>
  <c r="N31" i="3"/>
  <c r="N79" i="3"/>
  <c r="N109" i="3"/>
  <c r="N110" i="3"/>
  <c r="O6" i="3"/>
  <c r="O20" i="3"/>
  <c r="O68" i="3"/>
  <c r="O98" i="3"/>
  <c r="O7" i="3"/>
  <c r="O21" i="3"/>
  <c r="O69" i="3"/>
  <c r="O99" i="3"/>
  <c r="O8" i="3"/>
  <c r="O22" i="3"/>
  <c r="O70" i="3"/>
  <c r="O100" i="3"/>
  <c r="O9" i="3"/>
  <c r="O23" i="3"/>
  <c r="O71" i="3"/>
  <c r="O101" i="3"/>
  <c r="O10" i="3"/>
  <c r="O24" i="3"/>
  <c r="O72" i="3"/>
  <c r="O102" i="3"/>
  <c r="O11" i="3"/>
  <c r="O103" i="3"/>
  <c r="O12" i="3"/>
  <c r="O104" i="3"/>
  <c r="O13" i="3"/>
  <c r="O105" i="3"/>
  <c r="O14" i="3"/>
  <c r="O106" i="3"/>
  <c r="O15" i="3"/>
  <c r="O29" i="3"/>
  <c r="O77" i="3"/>
  <c r="O107" i="3"/>
  <c r="O16" i="3"/>
  <c r="O30" i="3"/>
  <c r="O78" i="3"/>
  <c r="O108" i="3"/>
  <c r="O17" i="3"/>
  <c r="O31" i="3"/>
  <c r="O79" i="3"/>
  <c r="O109" i="3"/>
  <c r="O110" i="3"/>
  <c r="P6" i="3"/>
  <c r="P20" i="3"/>
  <c r="P68" i="3"/>
  <c r="P98" i="3"/>
  <c r="P7" i="3"/>
  <c r="P21" i="3"/>
  <c r="P69" i="3"/>
  <c r="P99" i="3"/>
  <c r="P8" i="3"/>
  <c r="P22" i="3"/>
  <c r="P70" i="3"/>
  <c r="P100" i="3"/>
  <c r="P9" i="3"/>
  <c r="P23" i="3"/>
  <c r="P71" i="3"/>
  <c r="P101" i="3"/>
  <c r="P10" i="3"/>
  <c r="P24" i="3"/>
  <c r="P72" i="3"/>
  <c r="P102" i="3"/>
  <c r="P11" i="3"/>
  <c r="P103" i="3"/>
  <c r="P12" i="3"/>
  <c r="P104" i="3"/>
  <c r="P13" i="3"/>
  <c r="P105" i="3"/>
  <c r="P14" i="3"/>
  <c r="P106" i="3"/>
  <c r="P15" i="3"/>
  <c r="P29" i="3"/>
  <c r="P77" i="3"/>
  <c r="P107" i="3"/>
  <c r="P16" i="3"/>
  <c r="P30" i="3"/>
  <c r="P78" i="3"/>
  <c r="P108" i="3"/>
  <c r="P17" i="3"/>
  <c r="P31" i="3"/>
  <c r="P79" i="3"/>
  <c r="P109" i="3"/>
  <c r="P110" i="3"/>
  <c r="P111" i="3"/>
  <c r="F56" i="4"/>
  <c r="R36" i="3"/>
  <c r="R83" i="3"/>
  <c r="R6" i="3"/>
  <c r="R98" i="3"/>
  <c r="R84" i="3"/>
  <c r="R7" i="3"/>
  <c r="R99" i="3"/>
  <c r="R85" i="3"/>
  <c r="R8" i="3"/>
  <c r="R100" i="3"/>
  <c r="R86" i="3"/>
  <c r="R9" i="3"/>
  <c r="R101" i="3"/>
  <c r="R87" i="3"/>
  <c r="R10" i="3"/>
  <c r="R102" i="3"/>
  <c r="R25" i="3"/>
  <c r="R73" i="3"/>
  <c r="R88" i="3"/>
  <c r="R11" i="3"/>
  <c r="R103" i="3"/>
  <c r="R26" i="3"/>
  <c r="R74" i="3"/>
  <c r="R89" i="3"/>
  <c r="R12" i="3"/>
  <c r="R104" i="3"/>
  <c r="R27" i="3"/>
  <c r="R75" i="3"/>
  <c r="R90" i="3"/>
  <c r="R13" i="3"/>
  <c r="R105" i="3"/>
  <c r="R28" i="3"/>
  <c r="R76" i="3"/>
  <c r="R91" i="3"/>
  <c r="R14" i="3"/>
  <c r="R106" i="3"/>
  <c r="R92" i="3"/>
  <c r="R15" i="3"/>
  <c r="R107" i="3"/>
  <c r="R93" i="3"/>
  <c r="R16" i="3"/>
  <c r="R108" i="3"/>
  <c r="R94" i="3"/>
  <c r="R17" i="3"/>
  <c r="R109" i="3"/>
  <c r="R110" i="3"/>
  <c r="S36" i="3"/>
  <c r="S83" i="3"/>
  <c r="S6" i="3"/>
  <c r="S98" i="3"/>
  <c r="S84" i="3"/>
  <c r="S7" i="3"/>
  <c r="S99" i="3"/>
  <c r="S85" i="3"/>
  <c r="S8" i="3"/>
  <c r="S100" i="3"/>
  <c r="S86" i="3"/>
  <c r="S9" i="3"/>
  <c r="S101" i="3"/>
  <c r="S87" i="3"/>
  <c r="S10" i="3"/>
  <c r="S102" i="3"/>
  <c r="S25" i="3"/>
  <c r="S73" i="3"/>
  <c r="S88" i="3"/>
  <c r="S11" i="3"/>
  <c r="S103" i="3"/>
  <c r="S26" i="3"/>
  <c r="S74" i="3"/>
  <c r="S89" i="3"/>
  <c r="S12" i="3"/>
  <c r="S104" i="3"/>
  <c r="S27" i="3"/>
  <c r="S75" i="3"/>
  <c r="S90" i="3"/>
  <c r="S13" i="3"/>
  <c r="S105" i="3"/>
  <c r="S28" i="3"/>
  <c r="S76" i="3"/>
  <c r="S91" i="3"/>
  <c r="S14" i="3"/>
  <c r="S106" i="3"/>
  <c r="S92" i="3"/>
  <c r="S15" i="3"/>
  <c r="S107" i="3"/>
  <c r="S93" i="3"/>
  <c r="S16" i="3"/>
  <c r="S108" i="3"/>
  <c r="S94" i="3"/>
  <c r="S17" i="3"/>
  <c r="S109" i="3"/>
  <c r="S110" i="3"/>
  <c r="T36" i="3"/>
  <c r="T20" i="3"/>
  <c r="T68" i="3"/>
  <c r="T83" i="3"/>
  <c r="T6" i="3"/>
  <c r="T98" i="3"/>
  <c r="T21" i="3"/>
  <c r="T69" i="3"/>
  <c r="T84" i="3"/>
  <c r="T7" i="3"/>
  <c r="T99" i="3"/>
  <c r="T22" i="3"/>
  <c r="T70" i="3"/>
  <c r="T85" i="3"/>
  <c r="T8" i="3"/>
  <c r="T100" i="3"/>
  <c r="T23" i="3"/>
  <c r="T71" i="3"/>
  <c r="T86" i="3"/>
  <c r="T9" i="3"/>
  <c r="T101" i="3"/>
  <c r="T24" i="3"/>
  <c r="T72" i="3"/>
  <c r="T87" i="3"/>
  <c r="T10" i="3"/>
  <c r="T102" i="3"/>
  <c r="T88" i="3"/>
  <c r="T11" i="3"/>
  <c r="T103" i="3"/>
  <c r="T89" i="3"/>
  <c r="T12" i="3"/>
  <c r="T104" i="3"/>
  <c r="T90" i="3"/>
  <c r="T13" i="3"/>
  <c r="T105" i="3"/>
  <c r="T91" i="3"/>
  <c r="T14" i="3"/>
  <c r="T106" i="3"/>
  <c r="T29" i="3"/>
  <c r="T77" i="3"/>
  <c r="T92" i="3"/>
  <c r="T15" i="3"/>
  <c r="T107" i="3"/>
  <c r="T30" i="3"/>
  <c r="T78" i="3"/>
  <c r="T93" i="3"/>
  <c r="T16" i="3"/>
  <c r="T108" i="3"/>
  <c r="T31" i="3"/>
  <c r="T79" i="3"/>
  <c r="T94" i="3"/>
  <c r="T17" i="3"/>
  <c r="T109" i="3"/>
  <c r="T110" i="3"/>
  <c r="U20" i="3"/>
  <c r="U68" i="3"/>
  <c r="U36" i="3"/>
  <c r="U83" i="3"/>
  <c r="U6" i="3"/>
  <c r="U98" i="3"/>
  <c r="U21" i="3"/>
  <c r="U69" i="3"/>
  <c r="U84" i="3"/>
  <c r="U7" i="3"/>
  <c r="U99" i="3"/>
  <c r="U22" i="3"/>
  <c r="U70" i="3"/>
  <c r="U85" i="3"/>
  <c r="U8" i="3"/>
  <c r="U100" i="3"/>
  <c r="U23" i="3"/>
  <c r="U71" i="3"/>
  <c r="U86" i="3"/>
  <c r="U9" i="3"/>
  <c r="U101" i="3"/>
  <c r="U24" i="3"/>
  <c r="U72" i="3"/>
  <c r="U87" i="3"/>
  <c r="U10" i="3"/>
  <c r="U102" i="3"/>
  <c r="U88" i="3"/>
  <c r="U11" i="3"/>
  <c r="U103" i="3"/>
  <c r="U89" i="3"/>
  <c r="U12" i="3"/>
  <c r="U104" i="3"/>
  <c r="U90" i="3"/>
  <c r="U13" i="3"/>
  <c r="U105" i="3"/>
  <c r="U91" i="3"/>
  <c r="U14" i="3"/>
  <c r="U106" i="3"/>
  <c r="U29" i="3"/>
  <c r="U77" i="3"/>
  <c r="U92" i="3"/>
  <c r="U15" i="3"/>
  <c r="U107" i="3"/>
  <c r="U30" i="3"/>
  <c r="U78" i="3"/>
  <c r="U93" i="3"/>
  <c r="U16" i="3"/>
  <c r="U108" i="3"/>
  <c r="U31" i="3"/>
  <c r="U79" i="3"/>
  <c r="U94" i="3"/>
  <c r="U17" i="3"/>
  <c r="U109" i="3"/>
  <c r="U110" i="3"/>
  <c r="V83" i="3"/>
  <c r="V6" i="3"/>
  <c r="V98" i="3"/>
  <c r="V84" i="3"/>
  <c r="V7" i="3"/>
  <c r="V99" i="3"/>
  <c r="V85" i="3"/>
  <c r="V8" i="3"/>
  <c r="V100" i="3"/>
  <c r="V86" i="3"/>
  <c r="V9" i="3"/>
  <c r="V101" i="3"/>
  <c r="V87" i="3"/>
  <c r="V10" i="3"/>
  <c r="V102" i="3"/>
  <c r="V25" i="3"/>
  <c r="V73" i="3"/>
  <c r="V88" i="3"/>
  <c r="V11" i="3"/>
  <c r="V103" i="3"/>
  <c r="V26" i="3"/>
  <c r="V74" i="3"/>
  <c r="V89" i="3"/>
  <c r="V12" i="3"/>
  <c r="V104" i="3"/>
  <c r="V27" i="3"/>
  <c r="V75" i="3"/>
  <c r="V90" i="3"/>
  <c r="V13" i="3"/>
  <c r="V105" i="3"/>
  <c r="V28" i="3"/>
  <c r="V76" i="3"/>
  <c r="V91" i="3"/>
  <c r="V14" i="3"/>
  <c r="V106" i="3"/>
  <c r="V92" i="3"/>
  <c r="V15" i="3"/>
  <c r="V107" i="3"/>
  <c r="V93" i="3"/>
  <c r="V16" i="3"/>
  <c r="V108" i="3"/>
  <c r="V94" i="3"/>
  <c r="V17" i="3"/>
  <c r="V109" i="3"/>
  <c r="V110" i="3"/>
  <c r="W83" i="3"/>
  <c r="W6" i="3"/>
  <c r="W98" i="3"/>
  <c r="W84" i="3"/>
  <c r="W7" i="3"/>
  <c r="W99" i="3"/>
  <c r="W85" i="3"/>
  <c r="W8" i="3"/>
  <c r="W100" i="3"/>
  <c r="W86" i="3"/>
  <c r="W9" i="3"/>
  <c r="W101" i="3"/>
  <c r="W87" i="3"/>
  <c r="W10" i="3"/>
  <c r="W102" i="3"/>
  <c r="W25" i="3"/>
  <c r="W73" i="3"/>
  <c r="W88" i="3"/>
  <c r="W11" i="3"/>
  <c r="W103" i="3"/>
  <c r="W26" i="3"/>
  <c r="W74" i="3"/>
  <c r="W89" i="3"/>
  <c r="W12" i="3"/>
  <c r="W104" i="3"/>
  <c r="W27" i="3"/>
  <c r="W75" i="3"/>
  <c r="W90" i="3"/>
  <c r="W13" i="3"/>
  <c r="W105" i="3"/>
  <c r="W28" i="3"/>
  <c r="W76" i="3"/>
  <c r="W91" i="3"/>
  <c r="W14" i="3"/>
  <c r="W106" i="3"/>
  <c r="W92" i="3"/>
  <c r="W15" i="3"/>
  <c r="W107" i="3"/>
  <c r="W93" i="3"/>
  <c r="W16" i="3"/>
  <c r="W108" i="3"/>
  <c r="W94" i="3"/>
  <c r="W17" i="3"/>
  <c r="W109" i="3"/>
  <c r="W110" i="3"/>
  <c r="X83" i="3"/>
  <c r="X6" i="3"/>
  <c r="X98" i="3"/>
  <c r="X84" i="3"/>
  <c r="X7" i="3"/>
  <c r="X99" i="3"/>
  <c r="X85" i="3"/>
  <c r="X8" i="3"/>
  <c r="X100" i="3"/>
  <c r="X86" i="3"/>
  <c r="X9" i="3"/>
  <c r="X101" i="3"/>
  <c r="X87" i="3"/>
  <c r="X10" i="3"/>
  <c r="X102" i="3"/>
  <c r="X25" i="3"/>
  <c r="X73" i="3"/>
  <c r="X88" i="3"/>
  <c r="X11" i="3"/>
  <c r="X103" i="3"/>
  <c r="X26" i="3"/>
  <c r="X74" i="3"/>
  <c r="X89" i="3"/>
  <c r="X12" i="3"/>
  <c r="X104" i="3"/>
  <c r="X27" i="3"/>
  <c r="X75" i="3"/>
  <c r="X90" i="3"/>
  <c r="X13" i="3"/>
  <c r="X105" i="3"/>
  <c r="X28" i="3"/>
  <c r="X76" i="3"/>
  <c r="X91" i="3"/>
  <c r="X14" i="3"/>
  <c r="X106" i="3"/>
  <c r="X92" i="3"/>
  <c r="X15" i="3"/>
  <c r="X107" i="3"/>
  <c r="X93" i="3"/>
  <c r="X16" i="3"/>
  <c r="X108" i="3"/>
  <c r="X94" i="3"/>
  <c r="X17" i="3"/>
  <c r="X109" i="3"/>
  <c r="X110" i="3"/>
  <c r="Y68" i="3"/>
  <c r="Y83" i="3"/>
  <c r="Y6" i="3"/>
  <c r="Y98" i="3"/>
  <c r="Y69" i="3"/>
  <c r="Y84" i="3"/>
  <c r="Y7" i="3"/>
  <c r="Y99" i="3"/>
  <c r="Y70" i="3"/>
  <c r="Y85" i="3"/>
  <c r="Y8" i="3"/>
  <c r="Y100" i="3"/>
  <c r="Y71" i="3"/>
  <c r="Y86" i="3"/>
  <c r="Y9" i="3"/>
  <c r="Y101" i="3"/>
  <c r="Y72" i="3"/>
  <c r="Y87" i="3"/>
  <c r="Y10" i="3"/>
  <c r="Y102" i="3"/>
  <c r="Y88" i="3"/>
  <c r="Y11" i="3"/>
  <c r="Y103" i="3"/>
  <c r="Y89" i="3"/>
  <c r="Y12" i="3"/>
  <c r="Y104" i="3"/>
  <c r="Y90" i="3"/>
  <c r="Y13" i="3"/>
  <c r="Y105" i="3"/>
  <c r="Y91" i="3"/>
  <c r="Y14" i="3"/>
  <c r="Y106" i="3"/>
  <c r="Y77" i="3"/>
  <c r="Y92" i="3"/>
  <c r="Y15" i="3"/>
  <c r="Y107" i="3"/>
  <c r="Y78" i="3"/>
  <c r="Y93" i="3"/>
  <c r="Y16" i="3"/>
  <c r="Y108" i="3"/>
  <c r="Y79" i="3"/>
  <c r="Y94" i="3"/>
  <c r="Y17" i="3"/>
  <c r="Y109" i="3"/>
  <c r="Y110" i="3"/>
  <c r="Z20" i="3"/>
  <c r="Z68" i="3"/>
  <c r="Z83" i="3"/>
  <c r="Z6" i="3"/>
  <c r="Z98" i="3"/>
  <c r="Z21" i="3"/>
  <c r="Z69" i="3"/>
  <c r="Z84" i="3"/>
  <c r="Z7" i="3"/>
  <c r="Z99" i="3"/>
  <c r="Z22" i="3"/>
  <c r="Z70" i="3"/>
  <c r="Z85" i="3"/>
  <c r="Z8" i="3"/>
  <c r="Z100" i="3"/>
  <c r="Z23" i="3"/>
  <c r="Z71" i="3"/>
  <c r="Z86" i="3"/>
  <c r="Z9" i="3"/>
  <c r="Z101" i="3"/>
  <c r="Z24" i="3"/>
  <c r="Z72" i="3"/>
  <c r="Z87" i="3"/>
  <c r="Z10" i="3"/>
  <c r="Z102" i="3"/>
  <c r="Z88" i="3"/>
  <c r="Z11" i="3"/>
  <c r="Z103" i="3"/>
  <c r="Z89" i="3"/>
  <c r="Z12" i="3"/>
  <c r="Z104" i="3"/>
  <c r="Z90" i="3"/>
  <c r="Z13" i="3"/>
  <c r="Z105" i="3"/>
  <c r="Z91" i="3"/>
  <c r="Z14" i="3"/>
  <c r="Z106" i="3"/>
  <c r="Z29" i="3"/>
  <c r="Z77" i="3"/>
  <c r="Z92" i="3"/>
  <c r="Z15" i="3"/>
  <c r="Z107" i="3"/>
  <c r="Z30" i="3"/>
  <c r="Z78" i="3"/>
  <c r="Z93" i="3"/>
  <c r="Z16" i="3"/>
  <c r="Z108" i="3"/>
  <c r="Z31" i="3"/>
  <c r="Z79" i="3"/>
  <c r="Z94" i="3"/>
  <c r="Z17" i="3"/>
  <c r="Z109" i="3"/>
  <c r="Z110" i="3"/>
  <c r="Z111" i="3"/>
  <c r="F57" i="4"/>
  <c r="F59" i="4"/>
  <c r="C37" i="3"/>
  <c r="C52" i="3"/>
  <c r="C38" i="3"/>
  <c r="C53" i="3"/>
  <c r="C39" i="3"/>
  <c r="C54" i="3"/>
  <c r="C40" i="3"/>
  <c r="C55" i="3"/>
  <c r="C41" i="3"/>
  <c r="C56" i="3"/>
  <c r="C42" i="3"/>
  <c r="C57" i="3"/>
  <c r="C43" i="3"/>
  <c r="C58" i="3"/>
  <c r="C44" i="3"/>
  <c r="C59" i="3"/>
  <c r="C45" i="3"/>
  <c r="C60" i="3"/>
  <c r="C46" i="3"/>
  <c r="C61" i="3"/>
  <c r="C47" i="3"/>
  <c r="C62" i="3"/>
  <c r="C48" i="3"/>
  <c r="C63" i="3"/>
  <c r="C64" i="3"/>
  <c r="D37" i="3"/>
  <c r="D52" i="3"/>
  <c r="D38" i="3"/>
  <c r="D53" i="3"/>
  <c r="D39" i="3"/>
  <c r="D54" i="3"/>
  <c r="D40" i="3"/>
  <c r="D55" i="3"/>
  <c r="D41" i="3"/>
  <c r="D56" i="3"/>
  <c r="D42" i="3"/>
  <c r="D57" i="3"/>
  <c r="D43" i="3"/>
  <c r="D58" i="3"/>
  <c r="D44" i="3"/>
  <c r="D59" i="3"/>
  <c r="D45" i="3"/>
  <c r="D60" i="3"/>
  <c r="D46" i="3"/>
  <c r="D61" i="3"/>
  <c r="D47" i="3"/>
  <c r="D62" i="3"/>
  <c r="D48" i="3"/>
  <c r="D63" i="3"/>
  <c r="D64" i="3"/>
  <c r="E37" i="3"/>
  <c r="E52" i="3"/>
  <c r="E38" i="3"/>
  <c r="E53" i="3"/>
  <c r="E39" i="3"/>
  <c r="E54" i="3"/>
  <c r="E40" i="3"/>
  <c r="E55" i="3"/>
  <c r="E41" i="3"/>
  <c r="E56" i="3"/>
  <c r="E42" i="3"/>
  <c r="E57" i="3"/>
  <c r="E43" i="3"/>
  <c r="E58" i="3"/>
  <c r="E44" i="3"/>
  <c r="E59" i="3"/>
  <c r="E45" i="3"/>
  <c r="E60" i="3"/>
  <c r="E46" i="3"/>
  <c r="E61" i="3"/>
  <c r="E47" i="3"/>
  <c r="E62" i="3"/>
  <c r="E48" i="3"/>
  <c r="E63" i="3"/>
  <c r="E64" i="3"/>
  <c r="F37" i="3"/>
  <c r="F52" i="3"/>
  <c r="F38" i="3"/>
  <c r="F53" i="3"/>
  <c r="F39" i="3"/>
  <c r="F54" i="3"/>
  <c r="F40" i="3"/>
  <c r="F55" i="3"/>
  <c r="F41" i="3"/>
  <c r="F56" i="3"/>
  <c r="F42" i="3"/>
  <c r="F57" i="3"/>
  <c r="F43" i="3"/>
  <c r="F58" i="3"/>
  <c r="F44" i="3"/>
  <c r="F59" i="3"/>
  <c r="F45" i="3"/>
  <c r="F60" i="3"/>
  <c r="F46" i="3"/>
  <c r="F61" i="3"/>
  <c r="F47" i="3"/>
  <c r="F62" i="3"/>
  <c r="F48" i="3"/>
  <c r="F63" i="3"/>
  <c r="F64" i="3"/>
  <c r="G37" i="3"/>
  <c r="G52" i="3"/>
  <c r="G38" i="3"/>
  <c r="G53" i="3"/>
  <c r="G39" i="3"/>
  <c r="G54" i="3"/>
  <c r="G40" i="3"/>
  <c r="G55" i="3"/>
  <c r="G41" i="3"/>
  <c r="G56" i="3"/>
  <c r="G42" i="3"/>
  <c r="G57" i="3"/>
  <c r="G43" i="3"/>
  <c r="G58" i="3"/>
  <c r="G44" i="3"/>
  <c r="G59" i="3"/>
  <c r="G45" i="3"/>
  <c r="G60" i="3"/>
  <c r="G46" i="3"/>
  <c r="G61" i="3"/>
  <c r="G47" i="3"/>
  <c r="G62" i="3"/>
  <c r="G48" i="3"/>
  <c r="G63" i="3"/>
  <c r="G64" i="3"/>
  <c r="H37" i="3"/>
  <c r="H52" i="3"/>
  <c r="H38" i="3"/>
  <c r="H53" i="3"/>
  <c r="H39" i="3"/>
  <c r="H54" i="3"/>
  <c r="H40" i="3"/>
  <c r="H55" i="3"/>
  <c r="H41" i="3"/>
  <c r="H56" i="3"/>
  <c r="H42" i="3"/>
  <c r="H57" i="3"/>
  <c r="H43" i="3"/>
  <c r="H58" i="3"/>
  <c r="H44" i="3"/>
  <c r="H59" i="3"/>
  <c r="H45" i="3"/>
  <c r="H60" i="3"/>
  <c r="H46" i="3"/>
  <c r="H61" i="3"/>
  <c r="H47" i="3"/>
  <c r="H62" i="3"/>
  <c r="H48" i="3"/>
  <c r="H63" i="3"/>
  <c r="H64" i="3"/>
  <c r="I37" i="3"/>
  <c r="I52" i="3"/>
  <c r="I38" i="3"/>
  <c r="I53" i="3"/>
  <c r="I39" i="3"/>
  <c r="I54" i="3"/>
  <c r="I40" i="3"/>
  <c r="I55" i="3"/>
  <c r="I41" i="3"/>
  <c r="I56" i="3"/>
  <c r="I42" i="3"/>
  <c r="I57" i="3"/>
  <c r="I43" i="3"/>
  <c r="I58" i="3"/>
  <c r="I44" i="3"/>
  <c r="I59" i="3"/>
  <c r="I45" i="3"/>
  <c r="I60" i="3"/>
  <c r="I46" i="3"/>
  <c r="I61" i="3"/>
  <c r="I47" i="3"/>
  <c r="I62" i="3"/>
  <c r="I48" i="3"/>
  <c r="I63" i="3"/>
  <c r="I64" i="3"/>
  <c r="J37" i="3"/>
  <c r="J52" i="3"/>
  <c r="J38" i="3"/>
  <c r="J53" i="3"/>
  <c r="J39" i="3"/>
  <c r="J54" i="3"/>
  <c r="J40" i="3"/>
  <c r="J55" i="3"/>
  <c r="J41" i="3"/>
  <c r="J56" i="3"/>
  <c r="J42" i="3"/>
  <c r="J57" i="3"/>
  <c r="J43" i="3"/>
  <c r="J58" i="3"/>
  <c r="J44" i="3"/>
  <c r="J59" i="3"/>
  <c r="J45" i="3"/>
  <c r="J60" i="3"/>
  <c r="J46" i="3"/>
  <c r="J61" i="3"/>
  <c r="J47" i="3"/>
  <c r="J62" i="3"/>
  <c r="J48" i="3"/>
  <c r="J63" i="3"/>
  <c r="J64" i="3"/>
  <c r="K37" i="3"/>
  <c r="K52" i="3"/>
  <c r="K38" i="3"/>
  <c r="K53" i="3"/>
  <c r="K39" i="3"/>
  <c r="K54" i="3"/>
  <c r="K40" i="3"/>
  <c r="K55" i="3"/>
  <c r="K41" i="3"/>
  <c r="K56" i="3"/>
  <c r="K42" i="3"/>
  <c r="K57" i="3"/>
  <c r="K43" i="3"/>
  <c r="K58" i="3"/>
  <c r="K44" i="3"/>
  <c r="K59" i="3"/>
  <c r="K45" i="3"/>
  <c r="K60" i="3"/>
  <c r="K46" i="3"/>
  <c r="K61" i="3"/>
  <c r="K47" i="3"/>
  <c r="K62" i="3"/>
  <c r="K48" i="3"/>
  <c r="K63" i="3"/>
  <c r="K64" i="3"/>
  <c r="L37" i="3"/>
  <c r="L52" i="3"/>
  <c r="L38" i="3"/>
  <c r="L53" i="3"/>
  <c r="L39" i="3"/>
  <c r="L54" i="3"/>
  <c r="L40" i="3"/>
  <c r="L55" i="3"/>
  <c r="L41" i="3"/>
  <c r="L56" i="3"/>
  <c r="L42" i="3"/>
  <c r="L57" i="3"/>
  <c r="L43" i="3"/>
  <c r="L58" i="3"/>
  <c r="L44" i="3"/>
  <c r="L59" i="3"/>
  <c r="L45" i="3"/>
  <c r="L60" i="3"/>
  <c r="L46" i="3"/>
  <c r="L61" i="3"/>
  <c r="L47" i="3"/>
  <c r="L62" i="3"/>
  <c r="L48" i="3"/>
  <c r="L63" i="3"/>
  <c r="L64" i="3"/>
  <c r="M37" i="3"/>
  <c r="M52" i="3"/>
  <c r="M38" i="3"/>
  <c r="M53" i="3"/>
  <c r="M39" i="3"/>
  <c r="M54" i="3"/>
  <c r="M40" i="3"/>
  <c r="M55" i="3"/>
  <c r="M41" i="3"/>
  <c r="M56" i="3"/>
  <c r="M42" i="3"/>
  <c r="M57" i="3"/>
  <c r="M43" i="3"/>
  <c r="M58" i="3"/>
  <c r="M44" i="3"/>
  <c r="M59" i="3"/>
  <c r="M45" i="3"/>
  <c r="M60" i="3"/>
  <c r="M46" i="3"/>
  <c r="M61" i="3"/>
  <c r="M47" i="3"/>
  <c r="M62" i="3"/>
  <c r="M48" i="3"/>
  <c r="M63" i="3"/>
  <c r="M64" i="3"/>
  <c r="N37" i="3"/>
  <c r="N52" i="3"/>
  <c r="N38" i="3"/>
  <c r="N53" i="3"/>
  <c r="N39" i="3"/>
  <c r="N54" i="3"/>
  <c r="N40" i="3"/>
  <c r="N55" i="3"/>
  <c r="N41" i="3"/>
  <c r="N56" i="3"/>
  <c r="N42" i="3"/>
  <c r="N57" i="3"/>
  <c r="N43" i="3"/>
  <c r="N58" i="3"/>
  <c r="N44" i="3"/>
  <c r="N59" i="3"/>
  <c r="N45" i="3"/>
  <c r="N60" i="3"/>
  <c r="N46" i="3"/>
  <c r="N61" i="3"/>
  <c r="N47" i="3"/>
  <c r="N62" i="3"/>
  <c r="N48" i="3"/>
  <c r="N63" i="3"/>
  <c r="N64" i="3"/>
  <c r="O37" i="3"/>
  <c r="O52" i="3"/>
  <c r="O38" i="3"/>
  <c r="O53" i="3"/>
  <c r="O39" i="3"/>
  <c r="O54" i="3"/>
  <c r="O40" i="3"/>
  <c r="O55" i="3"/>
  <c r="O41" i="3"/>
  <c r="O56" i="3"/>
  <c r="O42" i="3"/>
  <c r="O57" i="3"/>
  <c r="O43" i="3"/>
  <c r="O58" i="3"/>
  <c r="O44" i="3"/>
  <c r="O59" i="3"/>
  <c r="O45" i="3"/>
  <c r="O60" i="3"/>
  <c r="O46" i="3"/>
  <c r="O61" i="3"/>
  <c r="O47" i="3"/>
  <c r="O62" i="3"/>
  <c r="O48" i="3"/>
  <c r="O63" i="3"/>
  <c r="O64" i="3"/>
  <c r="P37" i="3"/>
  <c r="P52" i="3"/>
  <c r="P38" i="3"/>
  <c r="P53" i="3"/>
  <c r="P39" i="3"/>
  <c r="P54" i="3"/>
  <c r="P40" i="3"/>
  <c r="P55" i="3"/>
  <c r="P41" i="3"/>
  <c r="P56" i="3"/>
  <c r="P42" i="3"/>
  <c r="P57" i="3"/>
  <c r="P43" i="3"/>
  <c r="P58" i="3"/>
  <c r="P44" i="3"/>
  <c r="P59" i="3"/>
  <c r="P45" i="3"/>
  <c r="P60" i="3"/>
  <c r="P46" i="3"/>
  <c r="P61" i="3"/>
  <c r="P47" i="3"/>
  <c r="P62" i="3"/>
  <c r="P48" i="3"/>
  <c r="P63" i="3"/>
  <c r="P64" i="3"/>
  <c r="K56" i="4"/>
  <c r="R20" i="3"/>
  <c r="R37" i="3"/>
  <c r="R52" i="3"/>
  <c r="R21" i="3"/>
  <c r="R38" i="3"/>
  <c r="R53" i="3"/>
  <c r="R22" i="3"/>
  <c r="R39" i="3"/>
  <c r="R54" i="3"/>
  <c r="R23" i="3"/>
  <c r="R40" i="3"/>
  <c r="R55" i="3"/>
  <c r="R24" i="3"/>
  <c r="R41" i="3"/>
  <c r="R56" i="3"/>
  <c r="R42" i="3"/>
  <c r="R57" i="3"/>
  <c r="R43" i="3"/>
  <c r="R58" i="3"/>
  <c r="R44" i="3"/>
  <c r="R59" i="3"/>
  <c r="R45" i="3"/>
  <c r="R60" i="3"/>
  <c r="R29" i="3"/>
  <c r="R46" i="3"/>
  <c r="R61" i="3"/>
  <c r="R30" i="3"/>
  <c r="R47" i="3"/>
  <c r="R62" i="3"/>
  <c r="R31" i="3"/>
  <c r="R48" i="3"/>
  <c r="R63" i="3"/>
  <c r="R64" i="3"/>
  <c r="S20" i="3"/>
  <c r="S37" i="3"/>
  <c r="S52" i="3"/>
  <c r="S21" i="3"/>
  <c r="S38" i="3"/>
  <c r="S53" i="3"/>
  <c r="S22" i="3"/>
  <c r="S39" i="3"/>
  <c r="S54" i="3"/>
  <c r="S23" i="3"/>
  <c r="S40" i="3"/>
  <c r="S55" i="3"/>
  <c r="S24" i="3"/>
  <c r="S41" i="3"/>
  <c r="S56" i="3"/>
  <c r="S42" i="3"/>
  <c r="S57" i="3"/>
  <c r="S43" i="3"/>
  <c r="S58" i="3"/>
  <c r="S44" i="3"/>
  <c r="S59" i="3"/>
  <c r="S45" i="3"/>
  <c r="S60" i="3"/>
  <c r="S29" i="3"/>
  <c r="S46" i="3"/>
  <c r="S61" i="3"/>
  <c r="S30" i="3"/>
  <c r="S47" i="3"/>
  <c r="S62" i="3"/>
  <c r="S31" i="3"/>
  <c r="S48" i="3"/>
  <c r="S63" i="3"/>
  <c r="S64" i="3"/>
  <c r="T37" i="3"/>
  <c r="T52" i="3"/>
  <c r="T38" i="3"/>
  <c r="T53" i="3"/>
  <c r="T39" i="3"/>
  <c r="T54" i="3"/>
  <c r="T40" i="3"/>
  <c r="T55" i="3"/>
  <c r="T41" i="3"/>
  <c r="T56" i="3"/>
  <c r="T25" i="3"/>
  <c r="T42" i="3"/>
  <c r="T57" i="3"/>
  <c r="T26" i="3"/>
  <c r="T43" i="3"/>
  <c r="T58" i="3"/>
  <c r="T27" i="3"/>
  <c r="T44" i="3"/>
  <c r="T59" i="3"/>
  <c r="T28" i="3"/>
  <c r="T45" i="3"/>
  <c r="T60" i="3"/>
  <c r="T46" i="3"/>
  <c r="T61" i="3"/>
  <c r="T47" i="3"/>
  <c r="T62" i="3"/>
  <c r="T48" i="3"/>
  <c r="T63" i="3"/>
  <c r="T64" i="3"/>
  <c r="U37" i="3"/>
  <c r="U52" i="3"/>
  <c r="U38" i="3"/>
  <c r="U53" i="3"/>
  <c r="U39" i="3"/>
  <c r="U54" i="3"/>
  <c r="U40" i="3"/>
  <c r="U55" i="3"/>
  <c r="U41" i="3"/>
  <c r="U56" i="3"/>
  <c r="U25" i="3"/>
  <c r="U42" i="3"/>
  <c r="U57" i="3"/>
  <c r="U26" i="3"/>
  <c r="U43" i="3"/>
  <c r="U58" i="3"/>
  <c r="U27" i="3"/>
  <c r="U44" i="3"/>
  <c r="U59" i="3"/>
  <c r="U28" i="3"/>
  <c r="U45" i="3"/>
  <c r="U60" i="3"/>
  <c r="U46" i="3"/>
  <c r="U61" i="3"/>
  <c r="U47" i="3"/>
  <c r="U62" i="3"/>
  <c r="U48" i="3"/>
  <c r="U63" i="3"/>
  <c r="U64" i="3"/>
  <c r="V37" i="3"/>
  <c r="V52" i="3"/>
  <c r="V38" i="3"/>
  <c r="V53" i="3"/>
  <c r="V39" i="3"/>
  <c r="V54" i="3"/>
  <c r="V40" i="3"/>
  <c r="V55" i="3"/>
  <c r="V41" i="3"/>
  <c r="V56" i="3"/>
  <c r="V42" i="3"/>
  <c r="V57" i="3"/>
  <c r="V43" i="3"/>
  <c r="V58" i="3"/>
  <c r="V44" i="3"/>
  <c r="V59" i="3"/>
  <c r="V45" i="3"/>
  <c r="V60" i="3"/>
  <c r="V46" i="3"/>
  <c r="V61" i="3"/>
  <c r="V47" i="3"/>
  <c r="V62" i="3"/>
  <c r="V48" i="3"/>
  <c r="V63" i="3"/>
  <c r="V64" i="3"/>
  <c r="W37" i="3"/>
  <c r="W52" i="3"/>
  <c r="W38" i="3"/>
  <c r="W53" i="3"/>
  <c r="W39" i="3"/>
  <c r="W54" i="3"/>
  <c r="W40" i="3"/>
  <c r="W55" i="3"/>
  <c r="W41" i="3"/>
  <c r="W56" i="3"/>
  <c r="W42" i="3"/>
  <c r="W57" i="3"/>
  <c r="W43" i="3"/>
  <c r="W58" i="3"/>
  <c r="W44" i="3"/>
  <c r="W59" i="3"/>
  <c r="W45" i="3"/>
  <c r="W60" i="3"/>
  <c r="W46" i="3"/>
  <c r="W61" i="3"/>
  <c r="W47" i="3"/>
  <c r="W62" i="3"/>
  <c r="W48" i="3"/>
  <c r="W63" i="3"/>
  <c r="W64" i="3"/>
  <c r="X37" i="3"/>
  <c r="X52" i="3"/>
  <c r="X38" i="3"/>
  <c r="X53" i="3"/>
  <c r="X39" i="3"/>
  <c r="X54" i="3"/>
  <c r="X40" i="3"/>
  <c r="X55" i="3"/>
  <c r="X41" i="3"/>
  <c r="X56" i="3"/>
  <c r="X42" i="3"/>
  <c r="X57" i="3"/>
  <c r="X43" i="3"/>
  <c r="X58" i="3"/>
  <c r="X44" i="3"/>
  <c r="X59" i="3"/>
  <c r="X45" i="3"/>
  <c r="X60" i="3"/>
  <c r="X46" i="3"/>
  <c r="X61" i="3"/>
  <c r="X47" i="3"/>
  <c r="X62" i="3"/>
  <c r="X48" i="3"/>
  <c r="X63" i="3"/>
  <c r="X64" i="3"/>
  <c r="Y37" i="3"/>
  <c r="Y52" i="3"/>
  <c r="Y38" i="3"/>
  <c r="Y53" i="3"/>
  <c r="Y39" i="3"/>
  <c r="Y54" i="3"/>
  <c r="Y40" i="3"/>
  <c r="Y55" i="3"/>
  <c r="Y41" i="3"/>
  <c r="Y56" i="3"/>
  <c r="Y42" i="3"/>
  <c r="Y57" i="3"/>
  <c r="Y43" i="3"/>
  <c r="Y58" i="3"/>
  <c r="Y44" i="3"/>
  <c r="Y59" i="3"/>
  <c r="Y45" i="3"/>
  <c r="Y60" i="3"/>
  <c r="Y46" i="3"/>
  <c r="Y61" i="3"/>
  <c r="Y47" i="3"/>
  <c r="Y62" i="3"/>
  <c r="Y48" i="3"/>
  <c r="Y63" i="3"/>
  <c r="Y64" i="3"/>
  <c r="Z37" i="3"/>
  <c r="Z52" i="3"/>
  <c r="Z38" i="3"/>
  <c r="Z53" i="3"/>
  <c r="Z39" i="3"/>
  <c r="Z54" i="3"/>
  <c r="Z40" i="3"/>
  <c r="Z55" i="3"/>
  <c r="Z41" i="3"/>
  <c r="Z56" i="3"/>
  <c r="Z42" i="3"/>
  <c r="Z57" i="3"/>
  <c r="Z43" i="3"/>
  <c r="Z58" i="3"/>
  <c r="Z44" i="3"/>
  <c r="Z59" i="3"/>
  <c r="Z45" i="3"/>
  <c r="Z60" i="3"/>
  <c r="Z46" i="3"/>
  <c r="Z61" i="3"/>
  <c r="Z47" i="3"/>
  <c r="Z62" i="3"/>
  <c r="Z48" i="3"/>
  <c r="Z63" i="3"/>
  <c r="Z64" i="3"/>
  <c r="K57" i="4"/>
  <c r="K59" i="4"/>
  <c r="E39" i="4"/>
  <c r="H78" i="4"/>
  <c r="E42" i="4"/>
  <c r="E36" i="4"/>
  <c r="H77" i="4"/>
  <c r="E51" i="4"/>
  <c r="C18" i="4"/>
  <c r="J31" i="4"/>
  <c r="F65" i="4"/>
  <c r="K63" i="4"/>
  <c r="K64" i="4"/>
  <c r="F64" i="4"/>
  <c r="F63" i="4"/>
  <c r="C64" i="4"/>
  <c r="C63" i="4"/>
  <c r="K71" i="4"/>
  <c r="H79" i="4"/>
  <c r="K76" i="4"/>
  <c r="H75" i="4"/>
  <c r="J29" i="4"/>
  <c r="U125" i="2"/>
  <c r="B72" i="4"/>
  <c r="E43" i="4"/>
  <c r="E41" i="4"/>
  <c r="E38" i="4"/>
  <c r="H76" i="4"/>
  <c r="E37" i="4"/>
  <c r="H81" i="4"/>
  <c r="H80" i="4"/>
  <c r="B78" i="4"/>
  <c r="B79" i="4"/>
  <c r="B80" i="4"/>
  <c r="B81" i="4"/>
  <c r="B77" i="4"/>
  <c r="D77" i="4"/>
  <c r="D78" i="4"/>
  <c r="D79" i="4"/>
  <c r="C78" i="4"/>
  <c r="C79" i="4"/>
  <c r="C77" i="4"/>
  <c r="A74" i="4"/>
  <c r="E78" i="4"/>
  <c r="E79" i="4"/>
  <c r="E77" i="4"/>
  <c r="K77" i="4"/>
  <c r="K65" i="4"/>
  <c r="C65" i="4"/>
  <c r="AB20" i="3"/>
  <c r="AB52" i="3"/>
  <c r="AB21" i="3"/>
  <c r="AB53" i="3"/>
  <c r="AB22" i="3"/>
  <c r="AB54" i="3"/>
  <c r="AB23" i="3"/>
  <c r="AB55" i="3"/>
  <c r="AB24" i="3"/>
  <c r="AB56" i="3"/>
  <c r="AB25" i="3"/>
  <c r="AB5" i="3"/>
  <c r="AB11" i="3"/>
  <c r="AB57" i="3"/>
  <c r="AB26" i="3"/>
  <c r="AB12" i="3"/>
  <c r="AB58" i="3"/>
  <c r="AB27" i="3"/>
  <c r="AB13" i="3"/>
  <c r="AB59" i="3"/>
  <c r="AB28" i="3"/>
  <c r="AB14" i="3"/>
  <c r="AB60" i="3"/>
  <c r="AB29" i="3"/>
  <c r="AB61" i="3"/>
  <c r="AB30" i="3"/>
  <c r="AB62" i="3"/>
  <c r="AB31" i="3"/>
  <c r="AB63" i="3"/>
  <c r="AB64" i="3"/>
  <c r="AC20" i="3"/>
  <c r="AC5" i="3"/>
  <c r="AC6" i="3"/>
  <c r="AC52" i="3"/>
  <c r="AC21" i="3"/>
  <c r="AC7" i="3"/>
  <c r="AC53" i="3"/>
  <c r="AC22" i="3"/>
  <c r="AC8" i="3"/>
  <c r="AC54" i="3"/>
  <c r="AC23" i="3"/>
  <c r="AC9" i="3"/>
  <c r="AC55" i="3"/>
  <c r="AC24" i="3"/>
  <c r="AC10" i="3"/>
  <c r="AC56" i="3"/>
  <c r="AC25" i="3"/>
  <c r="AC11" i="3"/>
  <c r="AC57" i="3"/>
  <c r="AC26" i="3"/>
  <c r="AC12" i="3"/>
  <c r="AC58" i="3"/>
  <c r="AC27" i="3"/>
  <c r="AC13" i="3"/>
  <c r="AC59" i="3"/>
  <c r="AC28" i="3"/>
  <c r="AC14" i="3"/>
  <c r="AC60" i="3"/>
  <c r="AC29" i="3"/>
  <c r="AC15" i="3"/>
  <c r="AC61" i="3"/>
  <c r="AC30" i="3"/>
  <c r="AC16" i="3"/>
  <c r="AC62" i="3"/>
  <c r="AC31" i="3"/>
  <c r="AC17" i="3"/>
  <c r="AC63" i="3"/>
  <c r="AC64" i="3"/>
  <c r="AD20" i="3"/>
  <c r="AD5" i="3"/>
  <c r="AD6" i="3"/>
  <c r="AD52" i="3"/>
  <c r="AD21" i="3"/>
  <c r="AD7" i="3"/>
  <c r="AD53" i="3"/>
  <c r="AD22" i="3"/>
  <c r="AD8" i="3"/>
  <c r="AD54" i="3"/>
  <c r="AD23" i="3"/>
  <c r="AD9" i="3"/>
  <c r="AD55" i="3"/>
  <c r="AD24" i="3"/>
  <c r="AD10" i="3"/>
  <c r="AD56" i="3"/>
  <c r="AD25" i="3"/>
  <c r="AD11" i="3"/>
  <c r="AD57" i="3"/>
  <c r="AD26" i="3"/>
  <c r="AD12" i="3"/>
  <c r="AD58" i="3"/>
  <c r="AD27" i="3"/>
  <c r="AD13" i="3"/>
  <c r="AD59" i="3"/>
  <c r="AD28" i="3"/>
  <c r="AD14" i="3"/>
  <c r="AD60" i="3"/>
  <c r="AD29" i="3"/>
  <c r="AD15" i="3"/>
  <c r="AD61" i="3"/>
  <c r="AD30" i="3"/>
  <c r="AD16" i="3"/>
  <c r="AD62" i="3"/>
  <c r="AD31" i="3"/>
  <c r="AD17" i="3"/>
  <c r="AD63" i="3"/>
  <c r="AD64" i="3"/>
  <c r="V20" i="3"/>
  <c r="AE20" i="3"/>
  <c r="AE5" i="3"/>
  <c r="AE6" i="3"/>
  <c r="AE52" i="3"/>
  <c r="V21" i="3"/>
  <c r="AE21" i="3"/>
  <c r="AE7" i="3"/>
  <c r="AE53" i="3"/>
  <c r="V22" i="3"/>
  <c r="AE22" i="3"/>
  <c r="AE8" i="3"/>
  <c r="AE54" i="3"/>
  <c r="V23" i="3"/>
  <c r="AE23" i="3"/>
  <c r="AE9" i="3"/>
  <c r="AE55" i="3"/>
  <c r="V24" i="3"/>
  <c r="AE24" i="3"/>
  <c r="AE10" i="3"/>
  <c r="AE56" i="3"/>
  <c r="AE25" i="3"/>
  <c r="AE11" i="3"/>
  <c r="AE57" i="3"/>
  <c r="AE26" i="3"/>
  <c r="AE12" i="3"/>
  <c r="AE58" i="3"/>
  <c r="AE27" i="3"/>
  <c r="AE13" i="3"/>
  <c r="AE59" i="3"/>
  <c r="AE28" i="3"/>
  <c r="AE14" i="3"/>
  <c r="AE60" i="3"/>
  <c r="V29" i="3"/>
  <c r="AE29" i="3"/>
  <c r="AE15" i="3"/>
  <c r="AE61" i="3"/>
  <c r="V30" i="3"/>
  <c r="AE30" i="3"/>
  <c r="AE16" i="3"/>
  <c r="AE62" i="3"/>
  <c r="V31" i="3"/>
  <c r="AE31" i="3"/>
  <c r="AE17" i="3"/>
  <c r="AE63" i="3"/>
  <c r="AE64" i="3"/>
  <c r="X20" i="3"/>
  <c r="AF20" i="3"/>
  <c r="AF5" i="3"/>
  <c r="AF6" i="3"/>
  <c r="AF52" i="3"/>
  <c r="X21" i="3"/>
  <c r="AF21" i="3"/>
  <c r="AF7" i="3"/>
  <c r="AF53" i="3"/>
  <c r="X22" i="3"/>
  <c r="AF22" i="3"/>
  <c r="AF8" i="3"/>
  <c r="AF54" i="3"/>
  <c r="X23" i="3"/>
  <c r="AF23" i="3"/>
  <c r="AF9" i="3"/>
  <c r="AF55" i="3"/>
  <c r="X24" i="3"/>
  <c r="AF24" i="3"/>
  <c r="AF10" i="3"/>
  <c r="AF56" i="3"/>
  <c r="AF25" i="3"/>
  <c r="AF11" i="3"/>
  <c r="AF57" i="3"/>
  <c r="AF26" i="3"/>
  <c r="AF12" i="3"/>
  <c r="AF58" i="3"/>
  <c r="AF27" i="3"/>
  <c r="AF13" i="3"/>
  <c r="AF59" i="3"/>
  <c r="AF28" i="3"/>
  <c r="AF14" i="3"/>
  <c r="AF60" i="3"/>
  <c r="X29" i="3"/>
  <c r="AF29" i="3"/>
  <c r="AF15" i="3"/>
  <c r="AF61" i="3"/>
  <c r="X30" i="3"/>
  <c r="AF30" i="3"/>
  <c r="AF16" i="3"/>
  <c r="AF62" i="3"/>
  <c r="X31" i="3"/>
  <c r="AF31" i="3"/>
  <c r="AF17" i="3"/>
  <c r="AF63" i="3"/>
  <c r="AF64" i="3"/>
  <c r="AG20" i="3"/>
  <c r="AG5" i="3"/>
  <c r="AG6" i="3"/>
  <c r="AG52" i="3"/>
  <c r="AG21" i="3"/>
  <c r="AG7" i="3"/>
  <c r="AG53" i="3"/>
  <c r="AG22" i="3"/>
  <c r="AG8" i="3"/>
  <c r="AG54" i="3"/>
  <c r="AG23" i="3"/>
  <c r="AG9" i="3"/>
  <c r="AG55" i="3"/>
  <c r="AG24" i="3"/>
  <c r="AG10" i="3"/>
  <c r="AG56" i="3"/>
  <c r="AG25" i="3"/>
  <c r="AG11" i="3"/>
  <c r="AG57" i="3"/>
  <c r="AG26" i="3"/>
  <c r="AG12" i="3"/>
  <c r="AG58" i="3"/>
  <c r="AG27" i="3"/>
  <c r="AG13" i="3"/>
  <c r="AG59" i="3"/>
  <c r="AG28" i="3"/>
  <c r="AG14" i="3"/>
  <c r="AG60" i="3"/>
  <c r="AG29" i="3"/>
  <c r="AG15" i="3"/>
  <c r="AG61" i="3"/>
  <c r="AG30" i="3"/>
  <c r="AG16" i="3"/>
  <c r="AG62" i="3"/>
  <c r="AG31" i="3"/>
  <c r="AG17" i="3"/>
  <c r="AG63" i="3"/>
  <c r="AG64" i="3"/>
  <c r="AG65" i="3"/>
  <c r="K60" i="4"/>
  <c r="K61" i="4"/>
  <c r="AB68" i="3"/>
  <c r="AB98" i="3"/>
  <c r="AB69" i="3"/>
  <c r="AB99" i="3"/>
  <c r="AB70" i="3"/>
  <c r="AB100" i="3"/>
  <c r="AB71" i="3"/>
  <c r="AB101" i="3"/>
  <c r="AB72" i="3"/>
  <c r="AB102" i="3"/>
  <c r="AB73" i="3"/>
  <c r="AB103" i="3"/>
  <c r="AB74" i="3"/>
  <c r="AB104" i="3"/>
  <c r="AB75" i="3"/>
  <c r="AB105" i="3"/>
  <c r="AB76" i="3"/>
  <c r="AB106" i="3"/>
  <c r="AB77" i="3"/>
  <c r="AB107" i="3"/>
  <c r="AB78" i="3"/>
  <c r="AB108" i="3"/>
  <c r="AB79" i="3"/>
  <c r="AB109" i="3"/>
  <c r="AB110" i="3"/>
  <c r="AC68" i="3"/>
  <c r="AC98" i="3"/>
  <c r="AC69" i="3"/>
  <c r="AC99" i="3"/>
  <c r="AC70" i="3"/>
  <c r="AC100" i="3"/>
  <c r="AC71" i="3"/>
  <c r="AC101" i="3"/>
  <c r="AC72" i="3"/>
  <c r="AC102" i="3"/>
  <c r="AC73" i="3"/>
  <c r="AC103" i="3"/>
  <c r="AC74" i="3"/>
  <c r="AC104" i="3"/>
  <c r="AC75" i="3"/>
  <c r="AC105" i="3"/>
  <c r="AC76" i="3"/>
  <c r="AC106" i="3"/>
  <c r="AC77" i="3"/>
  <c r="AC107" i="3"/>
  <c r="AC78" i="3"/>
  <c r="AC108" i="3"/>
  <c r="AC79" i="3"/>
  <c r="AC109" i="3"/>
  <c r="AC110" i="3"/>
  <c r="AD68" i="3"/>
  <c r="AD98" i="3"/>
  <c r="AD69" i="3"/>
  <c r="AD99" i="3"/>
  <c r="AD70" i="3"/>
  <c r="AD100" i="3"/>
  <c r="AD71" i="3"/>
  <c r="AD101" i="3"/>
  <c r="AD72" i="3"/>
  <c r="AD102" i="3"/>
  <c r="AD73" i="3"/>
  <c r="AD103" i="3"/>
  <c r="AD74" i="3"/>
  <c r="AD104" i="3"/>
  <c r="AD75" i="3"/>
  <c r="AD105" i="3"/>
  <c r="AD76" i="3"/>
  <c r="AD106" i="3"/>
  <c r="AD77" i="3"/>
  <c r="AD107" i="3"/>
  <c r="AD78" i="3"/>
  <c r="AD108" i="3"/>
  <c r="AD79" i="3"/>
  <c r="AD109" i="3"/>
  <c r="AD110" i="3"/>
  <c r="AE68" i="3"/>
  <c r="AE98" i="3"/>
  <c r="AE69" i="3"/>
  <c r="AE99" i="3"/>
  <c r="AE70" i="3"/>
  <c r="AE100" i="3"/>
  <c r="AE71" i="3"/>
  <c r="AE101" i="3"/>
  <c r="AE72" i="3"/>
  <c r="AE102" i="3"/>
  <c r="AE73" i="3"/>
  <c r="AE103" i="3"/>
  <c r="AE74" i="3"/>
  <c r="AE104" i="3"/>
  <c r="AE75" i="3"/>
  <c r="AE105" i="3"/>
  <c r="AE76" i="3"/>
  <c r="AE106" i="3"/>
  <c r="AE77" i="3"/>
  <c r="AE107" i="3"/>
  <c r="AE78" i="3"/>
  <c r="AE108" i="3"/>
  <c r="AE79" i="3"/>
  <c r="AE109" i="3"/>
  <c r="AE110" i="3"/>
  <c r="AF68" i="3"/>
  <c r="AF98" i="3"/>
  <c r="AF69" i="3"/>
  <c r="AF99" i="3"/>
  <c r="AF70" i="3"/>
  <c r="AF100" i="3"/>
  <c r="AF71" i="3"/>
  <c r="AF101" i="3"/>
  <c r="AF72" i="3"/>
  <c r="AF102" i="3"/>
  <c r="AF73" i="3"/>
  <c r="AF103" i="3"/>
  <c r="AF74" i="3"/>
  <c r="AF104" i="3"/>
  <c r="AF75" i="3"/>
  <c r="AF105" i="3"/>
  <c r="AF76" i="3"/>
  <c r="AF106" i="3"/>
  <c r="AF77" i="3"/>
  <c r="AF107" i="3"/>
  <c r="AF78" i="3"/>
  <c r="AF108" i="3"/>
  <c r="AF79" i="3"/>
  <c r="AF109" i="3"/>
  <c r="AF110" i="3"/>
  <c r="AG68" i="3"/>
  <c r="AG98" i="3"/>
  <c r="AG69" i="3"/>
  <c r="AG99" i="3"/>
  <c r="AG70" i="3"/>
  <c r="AG100" i="3"/>
  <c r="AG71" i="3"/>
  <c r="AG101" i="3"/>
  <c r="AG72" i="3"/>
  <c r="AG102" i="3"/>
  <c r="AG73" i="3"/>
  <c r="AG103" i="3"/>
  <c r="AG74" i="3"/>
  <c r="AG104" i="3"/>
  <c r="AG75" i="3"/>
  <c r="AG105" i="3"/>
  <c r="AG76" i="3"/>
  <c r="AG106" i="3"/>
  <c r="AG77" i="3"/>
  <c r="AG107" i="3"/>
  <c r="AG78" i="3"/>
  <c r="AG108" i="3"/>
  <c r="AG79" i="3"/>
  <c r="AG109" i="3"/>
  <c r="AG110" i="3"/>
  <c r="AG111" i="3"/>
  <c r="F60" i="4"/>
  <c r="F61" i="4"/>
  <c r="D74" i="2"/>
  <c r="D75" i="2"/>
  <c r="D76" i="2"/>
  <c r="D77" i="2"/>
  <c r="D78" i="2"/>
  <c r="D79" i="2"/>
  <c r="D80" i="2"/>
  <c r="D81" i="2"/>
  <c r="D82" i="2"/>
  <c r="D83" i="2"/>
  <c r="D84" i="2"/>
  <c r="D85" i="2"/>
  <c r="D87" i="2"/>
  <c r="E74" i="2"/>
  <c r="W74" i="2"/>
  <c r="X74" i="2"/>
  <c r="Y24" i="2"/>
  <c r="Y74" i="2"/>
  <c r="Z24" i="2"/>
  <c r="Z74" i="2"/>
  <c r="AA24" i="2"/>
  <c r="AA74" i="2"/>
  <c r="AB24" i="2"/>
  <c r="AB74" i="2"/>
  <c r="E75" i="2"/>
  <c r="W75" i="2"/>
  <c r="X75" i="2"/>
  <c r="Y25" i="2"/>
  <c r="Y75" i="2"/>
  <c r="Z25" i="2"/>
  <c r="Z75" i="2"/>
  <c r="AA25" i="2"/>
  <c r="AA75" i="2"/>
  <c r="AB25" i="2"/>
  <c r="AB75" i="2"/>
  <c r="E76" i="2"/>
  <c r="W76" i="2"/>
  <c r="X76" i="2"/>
  <c r="Y26" i="2"/>
  <c r="Y76" i="2"/>
  <c r="Z26" i="2"/>
  <c r="Z76" i="2"/>
  <c r="AA26" i="2"/>
  <c r="AA76" i="2"/>
  <c r="AB26" i="2"/>
  <c r="AB76" i="2"/>
  <c r="E77" i="2"/>
  <c r="W77" i="2"/>
  <c r="X77" i="2"/>
  <c r="Y27" i="2"/>
  <c r="Y77" i="2"/>
  <c r="Z27" i="2"/>
  <c r="Z77" i="2"/>
  <c r="AA27" i="2"/>
  <c r="AA77" i="2"/>
  <c r="AB27" i="2"/>
  <c r="AB77" i="2"/>
  <c r="E78" i="2"/>
  <c r="W78" i="2"/>
  <c r="X78" i="2"/>
  <c r="Y28" i="2"/>
  <c r="Y78" i="2"/>
  <c r="Z28" i="2"/>
  <c r="Z78" i="2"/>
  <c r="AA28" i="2"/>
  <c r="AA78" i="2"/>
  <c r="AB28" i="2"/>
  <c r="AB78" i="2"/>
  <c r="W29" i="2"/>
  <c r="E79" i="2"/>
  <c r="W79" i="2"/>
  <c r="X29" i="2"/>
  <c r="X79" i="2"/>
  <c r="Y79" i="2"/>
  <c r="Z79" i="2"/>
  <c r="AA29" i="2"/>
  <c r="AA79" i="2"/>
  <c r="AB29" i="2"/>
  <c r="AB79" i="2"/>
  <c r="W30" i="2"/>
  <c r="E80" i="2"/>
  <c r="W80" i="2"/>
  <c r="X30" i="2"/>
  <c r="X80" i="2"/>
  <c r="Y80" i="2"/>
  <c r="Z80" i="2"/>
  <c r="AA30" i="2"/>
  <c r="AA80" i="2"/>
  <c r="AB30" i="2"/>
  <c r="AB80" i="2"/>
  <c r="W31" i="2"/>
  <c r="E81" i="2"/>
  <c r="W81" i="2"/>
  <c r="X31" i="2"/>
  <c r="X81" i="2"/>
  <c r="Y81" i="2"/>
  <c r="Z81" i="2"/>
  <c r="AA31" i="2"/>
  <c r="AA81" i="2"/>
  <c r="AB31" i="2"/>
  <c r="AB81" i="2"/>
  <c r="W32" i="2"/>
  <c r="E82" i="2"/>
  <c r="W82" i="2"/>
  <c r="X32" i="2"/>
  <c r="X82" i="2"/>
  <c r="Y82" i="2"/>
  <c r="Z82" i="2"/>
  <c r="AA32" i="2"/>
  <c r="AA82" i="2"/>
  <c r="AB32" i="2"/>
  <c r="AB82" i="2"/>
  <c r="E83" i="2"/>
  <c r="W83" i="2"/>
  <c r="X83" i="2"/>
  <c r="Y33" i="2"/>
  <c r="Y83" i="2"/>
  <c r="Z33" i="2"/>
  <c r="Z83" i="2"/>
  <c r="AA33" i="2"/>
  <c r="AA83" i="2"/>
  <c r="AB33" i="2"/>
  <c r="AB83" i="2"/>
  <c r="E84" i="2"/>
  <c r="W84" i="2"/>
  <c r="X84" i="2"/>
  <c r="Y34" i="2"/>
  <c r="Y84" i="2"/>
  <c r="Z34" i="2"/>
  <c r="Z84" i="2"/>
  <c r="AA34" i="2"/>
  <c r="AA84" i="2"/>
  <c r="AB34" i="2"/>
  <c r="AB84" i="2"/>
  <c r="E85" i="2"/>
  <c r="W85" i="2"/>
  <c r="X85" i="2"/>
  <c r="Y35" i="2"/>
  <c r="Y85" i="2"/>
  <c r="Z35" i="2"/>
  <c r="Z85" i="2"/>
  <c r="AA35" i="2"/>
  <c r="AA85" i="2"/>
  <c r="AB35" i="2"/>
  <c r="AB85" i="2"/>
  <c r="AB88" i="2"/>
  <c r="B71" i="4"/>
  <c r="C128" i="3"/>
  <c r="C142" i="3"/>
  <c r="C129" i="3"/>
  <c r="C143" i="3"/>
  <c r="C130" i="3"/>
  <c r="C144" i="3"/>
  <c r="C131" i="3"/>
  <c r="C145" i="3"/>
  <c r="C132" i="3"/>
  <c r="C146" i="3"/>
  <c r="C119" i="3"/>
  <c r="C133" i="3"/>
  <c r="C147" i="3"/>
  <c r="C120" i="3"/>
  <c r="C134" i="3"/>
  <c r="C148" i="3"/>
  <c r="C121" i="3"/>
  <c r="C135" i="3"/>
  <c r="C149" i="3"/>
  <c r="C122" i="3"/>
  <c r="C136" i="3"/>
  <c r="C150" i="3"/>
  <c r="C137" i="3"/>
  <c r="C151" i="3"/>
  <c r="C138" i="3"/>
  <c r="C152" i="3"/>
  <c r="C139" i="3"/>
  <c r="C153" i="3"/>
  <c r="C154" i="3"/>
  <c r="D128" i="3"/>
  <c r="D142" i="3"/>
  <c r="D129" i="3"/>
  <c r="D143" i="3"/>
  <c r="D130" i="3"/>
  <c r="D144" i="3"/>
  <c r="D131" i="3"/>
  <c r="D145" i="3"/>
  <c r="D132" i="3"/>
  <c r="D146" i="3"/>
  <c r="D119" i="3"/>
  <c r="D133" i="3"/>
  <c r="D147" i="3"/>
  <c r="D120" i="3"/>
  <c r="D134" i="3"/>
  <c r="D148" i="3"/>
  <c r="D121" i="3"/>
  <c r="D135" i="3"/>
  <c r="D149" i="3"/>
  <c r="D122" i="3"/>
  <c r="D136" i="3"/>
  <c r="D150" i="3"/>
  <c r="D137" i="3"/>
  <c r="D151" i="3"/>
  <c r="D138" i="3"/>
  <c r="D152" i="3"/>
  <c r="D139" i="3"/>
  <c r="D153" i="3"/>
  <c r="D154" i="3"/>
  <c r="E128" i="3"/>
  <c r="E142" i="3"/>
  <c r="E129" i="3"/>
  <c r="E143" i="3"/>
  <c r="E130" i="3"/>
  <c r="E144" i="3"/>
  <c r="E131" i="3"/>
  <c r="E145" i="3"/>
  <c r="E132" i="3"/>
  <c r="E146" i="3"/>
  <c r="E119" i="3"/>
  <c r="E133" i="3"/>
  <c r="E147" i="3"/>
  <c r="E120" i="3"/>
  <c r="E134" i="3"/>
  <c r="E148" i="3"/>
  <c r="E121" i="3"/>
  <c r="E135" i="3"/>
  <c r="E149" i="3"/>
  <c r="E122" i="3"/>
  <c r="E136" i="3"/>
  <c r="E150" i="3"/>
  <c r="E137" i="3"/>
  <c r="E151" i="3"/>
  <c r="E138" i="3"/>
  <c r="E152" i="3"/>
  <c r="E139" i="3"/>
  <c r="E153" i="3"/>
  <c r="E154" i="3"/>
  <c r="F128" i="3"/>
  <c r="F142" i="3"/>
  <c r="F129" i="3"/>
  <c r="F143" i="3"/>
  <c r="F130" i="3"/>
  <c r="F144" i="3"/>
  <c r="F131" i="3"/>
  <c r="F145" i="3"/>
  <c r="F132" i="3"/>
  <c r="F146" i="3"/>
  <c r="F119" i="3"/>
  <c r="F133" i="3"/>
  <c r="F147" i="3"/>
  <c r="F120" i="3"/>
  <c r="F134" i="3"/>
  <c r="F148" i="3"/>
  <c r="F121" i="3"/>
  <c r="F135" i="3"/>
  <c r="F149" i="3"/>
  <c r="F122" i="3"/>
  <c r="F136" i="3"/>
  <c r="F150" i="3"/>
  <c r="F137" i="3"/>
  <c r="F151" i="3"/>
  <c r="F138" i="3"/>
  <c r="F152" i="3"/>
  <c r="F139" i="3"/>
  <c r="F153" i="3"/>
  <c r="F154" i="3"/>
  <c r="G114" i="3"/>
  <c r="G128" i="3"/>
  <c r="G142" i="3"/>
  <c r="G115" i="3"/>
  <c r="G129" i="3"/>
  <c r="G143" i="3"/>
  <c r="G116" i="3"/>
  <c r="G130" i="3"/>
  <c r="G144" i="3"/>
  <c r="G117" i="3"/>
  <c r="G131" i="3"/>
  <c r="G145" i="3"/>
  <c r="G118" i="3"/>
  <c r="G132" i="3"/>
  <c r="G146" i="3"/>
  <c r="G133" i="3"/>
  <c r="G147" i="3"/>
  <c r="G134" i="3"/>
  <c r="G148" i="3"/>
  <c r="G135" i="3"/>
  <c r="G149" i="3"/>
  <c r="G136" i="3"/>
  <c r="G150" i="3"/>
  <c r="G123" i="3"/>
  <c r="G137" i="3"/>
  <c r="G151" i="3"/>
  <c r="G124" i="3"/>
  <c r="G138" i="3"/>
  <c r="G152" i="3"/>
  <c r="G125" i="3"/>
  <c r="G139" i="3"/>
  <c r="G153" i="3"/>
  <c r="G154" i="3"/>
  <c r="H114" i="3"/>
  <c r="H128" i="3"/>
  <c r="H142" i="3"/>
  <c r="H115" i="3"/>
  <c r="H129" i="3"/>
  <c r="H143" i="3"/>
  <c r="H116" i="3"/>
  <c r="H130" i="3"/>
  <c r="H144" i="3"/>
  <c r="H117" i="3"/>
  <c r="H131" i="3"/>
  <c r="H145" i="3"/>
  <c r="H118" i="3"/>
  <c r="H132" i="3"/>
  <c r="H146" i="3"/>
  <c r="H133" i="3"/>
  <c r="H147" i="3"/>
  <c r="H134" i="3"/>
  <c r="H148" i="3"/>
  <c r="H135" i="3"/>
  <c r="H149" i="3"/>
  <c r="H136" i="3"/>
  <c r="H150" i="3"/>
  <c r="H123" i="3"/>
  <c r="H137" i="3"/>
  <c r="H151" i="3"/>
  <c r="H124" i="3"/>
  <c r="H138" i="3"/>
  <c r="H152" i="3"/>
  <c r="H125" i="3"/>
  <c r="H139" i="3"/>
  <c r="H153" i="3"/>
  <c r="H154" i="3"/>
  <c r="I114" i="3"/>
  <c r="I128" i="3"/>
  <c r="I142" i="3"/>
  <c r="I115" i="3"/>
  <c r="I129" i="3"/>
  <c r="I143" i="3"/>
  <c r="I116" i="3"/>
  <c r="I130" i="3"/>
  <c r="I144" i="3"/>
  <c r="I117" i="3"/>
  <c r="I131" i="3"/>
  <c r="I145" i="3"/>
  <c r="I118" i="3"/>
  <c r="I132" i="3"/>
  <c r="I146" i="3"/>
  <c r="I133" i="3"/>
  <c r="I147" i="3"/>
  <c r="I134" i="3"/>
  <c r="I148" i="3"/>
  <c r="I135" i="3"/>
  <c r="I149" i="3"/>
  <c r="I136" i="3"/>
  <c r="I150" i="3"/>
  <c r="I123" i="3"/>
  <c r="I137" i="3"/>
  <c r="I151" i="3"/>
  <c r="I124" i="3"/>
  <c r="I138" i="3"/>
  <c r="I152" i="3"/>
  <c r="I125" i="3"/>
  <c r="I139" i="3"/>
  <c r="I153" i="3"/>
  <c r="I154" i="3"/>
  <c r="J114" i="3"/>
  <c r="J128" i="3"/>
  <c r="J142" i="3"/>
  <c r="J115" i="3"/>
  <c r="J129" i="3"/>
  <c r="J143" i="3"/>
  <c r="J116" i="3"/>
  <c r="J130" i="3"/>
  <c r="J144" i="3"/>
  <c r="J117" i="3"/>
  <c r="J131" i="3"/>
  <c r="J145" i="3"/>
  <c r="J118" i="3"/>
  <c r="J132" i="3"/>
  <c r="J146" i="3"/>
  <c r="J133" i="3"/>
  <c r="J147" i="3"/>
  <c r="J134" i="3"/>
  <c r="J148" i="3"/>
  <c r="J135" i="3"/>
  <c r="J149" i="3"/>
  <c r="J136" i="3"/>
  <c r="J150" i="3"/>
  <c r="J123" i="3"/>
  <c r="J137" i="3"/>
  <c r="J151" i="3"/>
  <c r="J124" i="3"/>
  <c r="J138" i="3"/>
  <c r="J152" i="3"/>
  <c r="J125" i="3"/>
  <c r="J139" i="3"/>
  <c r="J153" i="3"/>
  <c r="J154" i="3"/>
  <c r="K128" i="3"/>
  <c r="K142" i="3"/>
  <c r="K129" i="3"/>
  <c r="K143" i="3"/>
  <c r="K130" i="3"/>
  <c r="K144" i="3"/>
  <c r="K131" i="3"/>
  <c r="K145" i="3"/>
  <c r="K132" i="3"/>
  <c r="K146" i="3"/>
  <c r="K119" i="3"/>
  <c r="K133" i="3"/>
  <c r="K147" i="3"/>
  <c r="K120" i="3"/>
  <c r="K134" i="3"/>
  <c r="K148" i="3"/>
  <c r="K121" i="3"/>
  <c r="K135" i="3"/>
  <c r="K149" i="3"/>
  <c r="K122" i="3"/>
  <c r="K136" i="3"/>
  <c r="K150" i="3"/>
  <c r="K137" i="3"/>
  <c r="K151" i="3"/>
  <c r="K138" i="3"/>
  <c r="K152" i="3"/>
  <c r="K139" i="3"/>
  <c r="K153" i="3"/>
  <c r="K154" i="3"/>
  <c r="L128" i="3"/>
  <c r="L142" i="3"/>
  <c r="L129" i="3"/>
  <c r="L143" i="3"/>
  <c r="L130" i="3"/>
  <c r="L144" i="3"/>
  <c r="L131" i="3"/>
  <c r="L145" i="3"/>
  <c r="L132" i="3"/>
  <c r="L146" i="3"/>
  <c r="L119" i="3"/>
  <c r="L133" i="3"/>
  <c r="L147" i="3"/>
  <c r="L120" i="3"/>
  <c r="L134" i="3"/>
  <c r="L148" i="3"/>
  <c r="L121" i="3"/>
  <c r="L135" i="3"/>
  <c r="L149" i="3"/>
  <c r="L122" i="3"/>
  <c r="L136" i="3"/>
  <c r="L150" i="3"/>
  <c r="L137" i="3"/>
  <c r="L151" i="3"/>
  <c r="L138" i="3"/>
  <c r="L152" i="3"/>
  <c r="L139" i="3"/>
  <c r="L153" i="3"/>
  <c r="L154" i="3"/>
  <c r="M128" i="3"/>
  <c r="M142" i="3"/>
  <c r="M129" i="3"/>
  <c r="M143" i="3"/>
  <c r="M130" i="3"/>
  <c r="M144" i="3"/>
  <c r="M131" i="3"/>
  <c r="M145" i="3"/>
  <c r="M132" i="3"/>
  <c r="M146" i="3"/>
  <c r="M119" i="3"/>
  <c r="M133" i="3"/>
  <c r="M147" i="3"/>
  <c r="M120" i="3"/>
  <c r="M134" i="3"/>
  <c r="M148" i="3"/>
  <c r="M121" i="3"/>
  <c r="M135" i="3"/>
  <c r="M149" i="3"/>
  <c r="M122" i="3"/>
  <c r="M136" i="3"/>
  <c r="M150" i="3"/>
  <c r="M137" i="3"/>
  <c r="M151" i="3"/>
  <c r="M138" i="3"/>
  <c r="M152" i="3"/>
  <c r="M139" i="3"/>
  <c r="M153" i="3"/>
  <c r="M154" i="3"/>
  <c r="N114" i="3"/>
  <c r="N128" i="3"/>
  <c r="N142" i="3"/>
  <c r="N115" i="3"/>
  <c r="N129" i="3"/>
  <c r="N143" i="3"/>
  <c r="N116" i="3"/>
  <c r="N130" i="3"/>
  <c r="N144" i="3"/>
  <c r="N117" i="3"/>
  <c r="N131" i="3"/>
  <c r="N145" i="3"/>
  <c r="N118" i="3"/>
  <c r="N132" i="3"/>
  <c r="N146" i="3"/>
  <c r="N133" i="3"/>
  <c r="N147" i="3"/>
  <c r="N134" i="3"/>
  <c r="N148" i="3"/>
  <c r="N135" i="3"/>
  <c r="N149" i="3"/>
  <c r="N136" i="3"/>
  <c r="N150" i="3"/>
  <c r="N123" i="3"/>
  <c r="N137" i="3"/>
  <c r="N151" i="3"/>
  <c r="N124" i="3"/>
  <c r="N138" i="3"/>
  <c r="N152" i="3"/>
  <c r="N125" i="3"/>
  <c r="N139" i="3"/>
  <c r="N153" i="3"/>
  <c r="N154" i="3"/>
  <c r="O114" i="3"/>
  <c r="O128" i="3"/>
  <c r="O142" i="3"/>
  <c r="O115" i="3"/>
  <c r="O129" i="3"/>
  <c r="O143" i="3"/>
  <c r="O116" i="3"/>
  <c r="O130" i="3"/>
  <c r="O144" i="3"/>
  <c r="O117" i="3"/>
  <c r="O131" i="3"/>
  <c r="O145" i="3"/>
  <c r="O118" i="3"/>
  <c r="O132" i="3"/>
  <c r="O146" i="3"/>
  <c r="O133" i="3"/>
  <c r="O147" i="3"/>
  <c r="O134" i="3"/>
  <c r="O148" i="3"/>
  <c r="O135" i="3"/>
  <c r="O149" i="3"/>
  <c r="O136" i="3"/>
  <c r="O150" i="3"/>
  <c r="O123" i="3"/>
  <c r="O137" i="3"/>
  <c r="O151" i="3"/>
  <c r="O124" i="3"/>
  <c r="O138" i="3"/>
  <c r="O152" i="3"/>
  <c r="O125" i="3"/>
  <c r="O139" i="3"/>
  <c r="O153" i="3"/>
  <c r="O154" i="3"/>
  <c r="P114" i="3"/>
  <c r="P128" i="3"/>
  <c r="P142" i="3"/>
  <c r="P115" i="3"/>
  <c r="P129" i="3"/>
  <c r="P143" i="3"/>
  <c r="P116" i="3"/>
  <c r="P130" i="3"/>
  <c r="P144" i="3"/>
  <c r="P117" i="3"/>
  <c r="P131" i="3"/>
  <c r="P145" i="3"/>
  <c r="P118" i="3"/>
  <c r="P132" i="3"/>
  <c r="P146" i="3"/>
  <c r="P133" i="3"/>
  <c r="P147" i="3"/>
  <c r="P134" i="3"/>
  <c r="P148" i="3"/>
  <c r="P135" i="3"/>
  <c r="P149" i="3"/>
  <c r="P136" i="3"/>
  <c r="P150" i="3"/>
  <c r="P123" i="3"/>
  <c r="P137" i="3"/>
  <c r="P151" i="3"/>
  <c r="P124" i="3"/>
  <c r="P138" i="3"/>
  <c r="P152" i="3"/>
  <c r="P125" i="3"/>
  <c r="P139" i="3"/>
  <c r="P153" i="3"/>
  <c r="P154" i="3"/>
  <c r="P155" i="3"/>
  <c r="R128" i="3"/>
  <c r="R142" i="3"/>
  <c r="R129" i="3"/>
  <c r="R143" i="3"/>
  <c r="R130" i="3"/>
  <c r="R144" i="3"/>
  <c r="R131" i="3"/>
  <c r="R145" i="3"/>
  <c r="R132" i="3"/>
  <c r="R146" i="3"/>
  <c r="R119" i="3"/>
  <c r="R133" i="3"/>
  <c r="R147" i="3"/>
  <c r="R120" i="3"/>
  <c r="R134" i="3"/>
  <c r="R148" i="3"/>
  <c r="R121" i="3"/>
  <c r="R135" i="3"/>
  <c r="R149" i="3"/>
  <c r="R122" i="3"/>
  <c r="R136" i="3"/>
  <c r="R150" i="3"/>
  <c r="R137" i="3"/>
  <c r="R151" i="3"/>
  <c r="R138" i="3"/>
  <c r="R152" i="3"/>
  <c r="R139" i="3"/>
  <c r="R153" i="3"/>
  <c r="R154" i="3"/>
  <c r="S128" i="3"/>
  <c r="S142" i="3"/>
  <c r="S129" i="3"/>
  <c r="S143" i="3"/>
  <c r="S130" i="3"/>
  <c r="S144" i="3"/>
  <c r="S131" i="3"/>
  <c r="S145" i="3"/>
  <c r="S132" i="3"/>
  <c r="S146" i="3"/>
  <c r="S119" i="3"/>
  <c r="S133" i="3"/>
  <c r="S147" i="3"/>
  <c r="S120" i="3"/>
  <c r="S134" i="3"/>
  <c r="S148" i="3"/>
  <c r="S121" i="3"/>
  <c r="S135" i="3"/>
  <c r="S149" i="3"/>
  <c r="S122" i="3"/>
  <c r="S136" i="3"/>
  <c r="S150" i="3"/>
  <c r="S137" i="3"/>
  <c r="S151" i="3"/>
  <c r="S138" i="3"/>
  <c r="S152" i="3"/>
  <c r="S139" i="3"/>
  <c r="S153" i="3"/>
  <c r="S154" i="3"/>
  <c r="T114" i="3"/>
  <c r="T128" i="3"/>
  <c r="T142" i="3"/>
  <c r="T115" i="3"/>
  <c r="T129" i="3"/>
  <c r="T143" i="3"/>
  <c r="T116" i="3"/>
  <c r="T130" i="3"/>
  <c r="T144" i="3"/>
  <c r="T117" i="3"/>
  <c r="T131" i="3"/>
  <c r="T145" i="3"/>
  <c r="T118" i="3"/>
  <c r="T132" i="3"/>
  <c r="T146" i="3"/>
  <c r="T133" i="3"/>
  <c r="T147" i="3"/>
  <c r="T134" i="3"/>
  <c r="T148" i="3"/>
  <c r="T135" i="3"/>
  <c r="T149" i="3"/>
  <c r="T136" i="3"/>
  <c r="T150" i="3"/>
  <c r="T123" i="3"/>
  <c r="T137" i="3"/>
  <c r="T151" i="3"/>
  <c r="T124" i="3"/>
  <c r="T138" i="3"/>
  <c r="T152" i="3"/>
  <c r="T125" i="3"/>
  <c r="T139" i="3"/>
  <c r="T153" i="3"/>
  <c r="T154" i="3"/>
  <c r="U114" i="3"/>
  <c r="U128" i="3"/>
  <c r="U142" i="3"/>
  <c r="U115" i="3"/>
  <c r="U129" i="3"/>
  <c r="U143" i="3"/>
  <c r="U116" i="3"/>
  <c r="U130" i="3"/>
  <c r="U144" i="3"/>
  <c r="U117" i="3"/>
  <c r="U131" i="3"/>
  <c r="U145" i="3"/>
  <c r="U118" i="3"/>
  <c r="U132" i="3"/>
  <c r="U146" i="3"/>
  <c r="U133" i="3"/>
  <c r="U147" i="3"/>
  <c r="U134" i="3"/>
  <c r="U148" i="3"/>
  <c r="U135" i="3"/>
  <c r="U149" i="3"/>
  <c r="U136" i="3"/>
  <c r="U150" i="3"/>
  <c r="U123" i="3"/>
  <c r="U137" i="3"/>
  <c r="U151" i="3"/>
  <c r="U124" i="3"/>
  <c r="U138" i="3"/>
  <c r="U152" i="3"/>
  <c r="U125" i="3"/>
  <c r="U139" i="3"/>
  <c r="U153" i="3"/>
  <c r="U154" i="3"/>
  <c r="V128" i="3"/>
  <c r="V142" i="3"/>
  <c r="V129" i="3"/>
  <c r="V143" i="3"/>
  <c r="V130" i="3"/>
  <c r="V144" i="3"/>
  <c r="V131" i="3"/>
  <c r="V145" i="3"/>
  <c r="V132" i="3"/>
  <c r="V146" i="3"/>
  <c r="V119" i="3"/>
  <c r="V133" i="3"/>
  <c r="V147" i="3"/>
  <c r="V120" i="3"/>
  <c r="V134" i="3"/>
  <c r="V148" i="3"/>
  <c r="V121" i="3"/>
  <c r="V135" i="3"/>
  <c r="V149" i="3"/>
  <c r="V122" i="3"/>
  <c r="V136" i="3"/>
  <c r="V150" i="3"/>
  <c r="V137" i="3"/>
  <c r="V151" i="3"/>
  <c r="V138" i="3"/>
  <c r="V152" i="3"/>
  <c r="V139" i="3"/>
  <c r="V153" i="3"/>
  <c r="V154" i="3"/>
  <c r="W128" i="3"/>
  <c r="W142" i="3"/>
  <c r="W129" i="3"/>
  <c r="W143" i="3"/>
  <c r="W130" i="3"/>
  <c r="W144" i="3"/>
  <c r="W131" i="3"/>
  <c r="W145" i="3"/>
  <c r="W132" i="3"/>
  <c r="W146" i="3"/>
  <c r="W119" i="3"/>
  <c r="W133" i="3"/>
  <c r="W147" i="3"/>
  <c r="W120" i="3"/>
  <c r="W134" i="3"/>
  <c r="W148" i="3"/>
  <c r="W121" i="3"/>
  <c r="W135" i="3"/>
  <c r="W149" i="3"/>
  <c r="W122" i="3"/>
  <c r="W136" i="3"/>
  <c r="W150" i="3"/>
  <c r="W137" i="3"/>
  <c r="W151" i="3"/>
  <c r="W138" i="3"/>
  <c r="W152" i="3"/>
  <c r="W139" i="3"/>
  <c r="W153" i="3"/>
  <c r="W154" i="3"/>
  <c r="X128" i="3"/>
  <c r="X142" i="3"/>
  <c r="X129" i="3"/>
  <c r="X143" i="3"/>
  <c r="X130" i="3"/>
  <c r="X144" i="3"/>
  <c r="X131" i="3"/>
  <c r="X145" i="3"/>
  <c r="X132" i="3"/>
  <c r="X146" i="3"/>
  <c r="X119" i="3"/>
  <c r="X133" i="3"/>
  <c r="X147" i="3"/>
  <c r="X120" i="3"/>
  <c r="X134" i="3"/>
  <c r="X148" i="3"/>
  <c r="X121" i="3"/>
  <c r="X135" i="3"/>
  <c r="X149" i="3"/>
  <c r="X122" i="3"/>
  <c r="X136" i="3"/>
  <c r="X150" i="3"/>
  <c r="X137" i="3"/>
  <c r="X151" i="3"/>
  <c r="X138" i="3"/>
  <c r="X152" i="3"/>
  <c r="X139" i="3"/>
  <c r="X153" i="3"/>
  <c r="X154" i="3"/>
  <c r="Y20" i="3"/>
  <c r="Y114" i="3"/>
  <c r="Y128" i="3"/>
  <c r="Y142" i="3"/>
  <c r="Y21" i="3"/>
  <c r="Y115" i="3"/>
  <c r="Y129" i="3"/>
  <c r="Y143" i="3"/>
  <c r="Y22" i="3"/>
  <c r="Y116" i="3"/>
  <c r="Y130" i="3"/>
  <c r="Y144" i="3"/>
  <c r="Y23" i="3"/>
  <c r="Y117" i="3"/>
  <c r="Y131" i="3"/>
  <c r="Y145" i="3"/>
  <c r="Y24" i="3"/>
  <c r="Y118" i="3"/>
  <c r="Y132" i="3"/>
  <c r="Y146" i="3"/>
  <c r="Y133" i="3"/>
  <c r="Y147" i="3"/>
  <c r="Y134" i="3"/>
  <c r="Y148" i="3"/>
  <c r="Y135" i="3"/>
  <c r="Y149" i="3"/>
  <c r="Y136" i="3"/>
  <c r="Y150" i="3"/>
  <c r="Y29" i="3"/>
  <c r="Y123" i="3"/>
  <c r="Y137" i="3"/>
  <c r="Y151" i="3"/>
  <c r="Y30" i="3"/>
  <c r="Y124" i="3"/>
  <c r="Y138" i="3"/>
  <c r="Y152" i="3"/>
  <c r="Y31" i="3"/>
  <c r="Y125" i="3"/>
  <c r="Y139" i="3"/>
  <c r="Y153" i="3"/>
  <c r="Y154" i="3"/>
  <c r="Z114" i="3"/>
  <c r="Z128" i="3"/>
  <c r="Z142" i="3"/>
  <c r="Z115" i="3"/>
  <c r="Z129" i="3"/>
  <c r="Z143" i="3"/>
  <c r="Z116" i="3"/>
  <c r="Z130" i="3"/>
  <c r="Z144" i="3"/>
  <c r="Z117" i="3"/>
  <c r="Z131" i="3"/>
  <c r="Z145" i="3"/>
  <c r="Z118" i="3"/>
  <c r="Z132" i="3"/>
  <c r="Z146" i="3"/>
  <c r="Z133" i="3"/>
  <c r="Z147" i="3"/>
  <c r="Z134" i="3"/>
  <c r="Z148" i="3"/>
  <c r="Z135" i="3"/>
  <c r="Z149" i="3"/>
  <c r="Z136" i="3"/>
  <c r="Z150" i="3"/>
  <c r="Z123" i="3"/>
  <c r="Z137" i="3"/>
  <c r="Z151" i="3"/>
  <c r="Z124" i="3"/>
  <c r="Z138" i="3"/>
  <c r="Z152" i="3"/>
  <c r="Z125" i="3"/>
  <c r="Z139" i="3"/>
  <c r="Z153" i="3"/>
  <c r="Z154" i="3"/>
  <c r="Z155" i="3"/>
  <c r="K81" i="4"/>
  <c r="C74" i="2"/>
  <c r="C75" i="2"/>
  <c r="C76" i="2"/>
  <c r="C77" i="2"/>
  <c r="C78" i="2"/>
  <c r="C79" i="2"/>
  <c r="C80" i="2"/>
  <c r="C81" i="2"/>
  <c r="C82" i="2"/>
  <c r="C83" i="2"/>
  <c r="C84" i="2"/>
  <c r="C85" i="2"/>
  <c r="C87" i="2"/>
  <c r="AI20" i="3"/>
  <c r="AI6" i="3"/>
  <c r="AI52" i="3"/>
  <c r="AI21" i="3"/>
  <c r="AI7" i="3"/>
  <c r="AI53" i="3"/>
  <c r="AI22" i="3"/>
  <c r="AI8" i="3"/>
  <c r="AI54" i="3"/>
  <c r="AI23" i="3"/>
  <c r="AI9" i="3"/>
  <c r="AI55" i="3"/>
  <c r="AI24" i="3"/>
  <c r="AI10" i="3"/>
  <c r="AI56" i="3"/>
  <c r="AI25" i="3"/>
  <c r="AI11" i="3"/>
  <c r="AI57" i="3"/>
  <c r="AI26" i="3"/>
  <c r="AI12" i="3"/>
  <c r="AI58" i="3"/>
  <c r="AI27" i="3"/>
  <c r="AI13" i="3"/>
  <c r="AI59" i="3"/>
  <c r="AI28" i="3"/>
  <c r="AI14" i="3"/>
  <c r="AI60" i="3"/>
  <c r="AI29" i="3"/>
  <c r="AI15" i="3"/>
  <c r="AI61" i="3"/>
  <c r="AI30" i="3"/>
  <c r="AI16" i="3"/>
  <c r="AI62" i="3"/>
  <c r="AI31" i="3"/>
  <c r="AI17" i="3"/>
  <c r="AI63" i="3"/>
  <c r="AI64" i="3"/>
  <c r="AJ20" i="3"/>
  <c r="AJ6" i="3"/>
  <c r="AJ52" i="3"/>
  <c r="AJ21" i="3"/>
  <c r="AJ7" i="3"/>
  <c r="AJ53" i="3"/>
  <c r="AJ22" i="3"/>
  <c r="AJ8" i="3"/>
  <c r="AJ54" i="3"/>
  <c r="AJ23" i="3"/>
  <c r="AJ9" i="3"/>
  <c r="AJ55" i="3"/>
  <c r="AJ24" i="3"/>
  <c r="AJ10" i="3"/>
  <c r="AJ56" i="3"/>
  <c r="AJ25" i="3"/>
  <c r="AJ11" i="3"/>
  <c r="AJ57" i="3"/>
  <c r="AJ26" i="3"/>
  <c r="AJ12" i="3"/>
  <c r="AJ58" i="3"/>
  <c r="AJ27" i="3"/>
  <c r="AJ13" i="3"/>
  <c r="AJ59" i="3"/>
  <c r="AJ28" i="3"/>
  <c r="AJ14" i="3"/>
  <c r="AJ60" i="3"/>
  <c r="AJ29" i="3"/>
  <c r="AJ15" i="3"/>
  <c r="AJ61" i="3"/>
  <c r="AJ30" i="3"/>
  <c r="AJ16" i="3"/>
  <c r="AJ62" i="3"/>
  <c r="AJ31" i="3"/>
  <c r="AJ17" i="3"/>
  <c r="AJ63" i="3"/>
  <c r="AJ64" i="3"/>
  <c r="AJ65" i="3"/>
  <c r="K66" i="4"/>
  <c r="J67" i="4"/>
  <c r="K72" i="4"/>
  <c r="I73" i="4"/>
  <c r="AI68" i="3"/>
  <c r="AI98" i="3"/>
  <c r="AI69" i="3"/>
  <c r="AI99" i="3"/>
  <c r="AI70" i="3"/>
  <c r="AI100" i="3"/>
  <c r="AI71" i="3"/>
  <c r="AI101" i="3"/>
  <c r="AI72" i="3"/>
  <c r="AI102" i="3"/>
  <c r="AI73" i="3"/>
  <c r="AI103" i="3"/>
  <c r="AI74" i="3"/>
  <c r="AI104" i="3"/>
  <c r="AI75" i="3"/>
  <c r="AI105" i="3"/>
  <c r="AI76" i="3"/>
  <c r="AI106" i="3"/>
  <c r="AI77" i="3"/>
  <c r="AI107" i="3"/>
  <c r="AI78" i="3"/>
  <c r="AI108" i="3"/>
  <c r="AI79" i="3"/>
  <c r="AI109" i="3"/>
  <c r="AI110" i="3"/>
  <c r="AJ68" i="3"/>
  <c r="AJ98" i="3"/>
  <c r="AJ69" i="3"/>
  <c r="AJ99" i="3"/>
  <c r="AJ70" i="3"/>
  <c r="AJ100" i="3"/>
  <c r="AJ71" i="3"/>
  <c r="AJ101" i="3"/>
  <c r="AJ72" i="3"/>
  <c r="AJ102" i="3"/>
  <c r="AJ73" i="3"/>
  <c r="AJ103" i="3"/>
  <c r="AJ74" i="3"/>
  <c r="AJ104" i="3"/>
  <c r="AJ75" i="3"/>
  <c r="AJ105" i="3"/>
  <c r="AJ76" i="3"/>
  <c r="AJ106" i="3"/>
  <c r="AJ77" i="3"/>
  <c r="AJ107" i="3"/>
  <c r="AJ78" i="3"/>
  <c r="AJ108" i="3"/>
  <c r="AJ79" i="3"/>
  <c r="AJ109" i="3"/>
  <c r="AJ110" i="3"/>
  <c r="AJ111" i="3"/>
  <c r="AB114" i="3"/>
  <c r="AB142" i="3"/>
  <c r="AB115" i="3"/>
  <c r="AB143" i="3"/>
  <c r="AB116" i="3"/>
  <c r="AB144" i="3"/>
  <c r="AB117" i="3"/>
  <c r="AB145" i="3"/>
  <c r="AB118" i="3"/>
  <c r="AB146" i="3"/>
  <c r="AB119" i="3"/>
  <c r="AB147" i="3"/>
  <c r="AB120" i="3"/>
  <c r="AB148" i="3"/>
  <c r="AB121" i="3"/>
  <c r="AB149" i="3"/>
  <c r="AB122" i="3"/>
  <c r="AB150" i="3"/>
  <c r="AB123" i="3"/>
  <c r="AB151" i="3"/>
  <c r="AB124" i="3"/>
  <c r="AB152" i="3"/>
  <c r="AB125" i="3"/>
  <c r="AB153" i="3"/>
  <c r="AB154" i="3"/>
  <c r="AC114" i="3"/>
  <c r="AC142" i="3"/>
  <c r="AC115" i="3"/>
  <c r="AC143" i="3"/>
  <c r="AC116" i="3"/>
  <c r="AC144" i="3"/>
  <c r="AC117" i="3"/>
  <c r="AC145" i="3"/>
  <c r="AC118" i="3"/>
  <c r="AC146" i="3"/>
  <c r="AC119" i="3"/>
  <c r="AC147" i="3"/>
  <c r="AC120" i="3"/>
  <c r="AC148" i="3"/>
  <c r="AC121" i="3"/>
  <c r="AC149" i="3"/>
  <c r="AC122" i="3"/>
  <c r="AC150" i="3"/>
  <c r="AC123" i="3"/>
  <c r="AC151" i="3"/>
  <c r="AC124" i="3"/>
  <c r="AC152" i="3"/>
  <c r="AC125" i="3"/>
  <c r="AC153" i="3"/>
  <c r="AC154" i="3"/>
  <c r="AD114" i="3"/>
  <c r="AD142" i="3"/>
  <c r="AD115" i="3"/>
  <c r="AD143" i="3"/>
  <c r="AD116" i="3"/>
  <c r="AD144" i="3"/>
  <c r="AD117" i="3"/>
  <c r="AD145" i="3"/>
  <c r="AD118" i="3"/>
  <c r="AD146" i="3"/>
  <c r="AD119" i="3"/>
  <c r="AD147" i="3"/>
  <c r="AD120" i="3"/>
  <c r="AD148" i="3"/>
  <c r="AD121" i="3"/>
  <c r="AD149" i="3"/>
  <c r="AD122" i="3"/>
  <c r="AD150" i="3"/>
  <c r="AD123" i="3"/>
  <c r="AD151" i="3"/>
  <c r="AD124" i="3"/>
  <c r="AD152" i="3"/>
  <c r="AD125" i="3"/>
  <c r="AD153" i="3"/>
  <c r="AD154" i="3"/>
  <c r="AE114" i="3"/>
  <c r="AE142" i="3"/>
  <c r="AE115" i="3"/>
  <c r="AE143" i="3"/>
  <c r="AE116" i="3"/>
  <c r="AE144" i="3"/>
  <c r="AE117" i="3"/>
  <c r="AE145" i="3"/>
  <c r="AE118" i="3"/>
  <c r="AE146" i="3"/>
  <c r="AE119" i="3"/>
  <c r="AE147" i="3"/>
  <c r="AE120" i="3"/>
  <c r="AE148" i="3"/>
  <c r="AE121" i="3"/>
  <c r="AE149" i="3"/>
  <c r="AE122" i="3"/>
  <c r="AE150" i="3"/>
  <c r="AE123" i="3"/>
  <c r="AE151" i="3"/>
  <c r="AE124" i="3"/>
  <c r="AE152" i="3"/>
  <c r="AE125" i="3"/>
  <c r="AE153" i="3"/>
  <c r="AE154" i="3"/>
  <c r="AF114" i="3"/>
  <c r="AF142" i="3"/>
  <c r="AF115" i="3"/>
  <c r="AF143" i="3"/>
  <c r="AF116" i="3"/>
  <c r="AF144" i="3"/>
  <c r="AF117" i="3"/>
  <c r="AF145" i="3"/>
  <c r="AF118" i="3"/>
  <c r="AF146" i="3"/>
  <c r="AF119" i="3"/>
  <c r="AF147" i="3"/>
  <c r="AF120" i="3"/>
  <c r="AF148" i="3"/>
  <c r="AF121" i="3"/>
  <c r="AF149" i="3"/>
  <c r="AF122" i="3"/>
  <c r="AF150" i="3"/>
  <c r="AF123" i="3"/>
  <c r="AF151" i="3"/>
  <c r="AF124" i="3"/>
  <c r="AF152" i="3"/>
  <c r="AF125" i="3"/>
  <c r="AF153" i="3"/>
  <c r="AF154" i="3"/>
  <c r="AG114" i="3"/>
  <c r="AG142" i="3"/>
  <c r="AG115" i="3"/>
  <c r="AG143" i="3"/>
  <c r="AG116" i="3"/>
  <c r="AG144" i="3"/>
  <c r="AG117" i="3"/>
  <c r="AG145" i="3"/>
  <c r="AG118" i="3"/>
  <c r="AG146" i="3"/>
  <c r="AG119" i="3"/>
  <c r="AG147" i="3"/>
  <c r="AG120" i="3"/>
  <c r="AG148" i="3"/>
  <c r="AG121" i="3"/>
  <c r="AG149" i="3"/>
  <c r="AG122" i="3"/>
  <c r="AG150" i="3"/>
  <c r="AG123" i="3"/>
  <c r="AG151" i="3"/>
  <c r="AG124" i="3"/>
  <c r="AG152" i="3"/>
  <c r="AG125" i="3"/>
  <c r="AG153" i="3"/>
  <c r="AG154" i="3"/>
  <c r="AG155" i="3"/>
  <c r="AI114" i="3"/>
  <c r="AI142" i="3"/>
  <c r="AI115" i="3"/>
  <c r="AI143" i="3"/>
  <c r="AI116" i="3"/>
  <c r="AI144" i="3"/>
  <c r="AI117" i="3"/>
  <c r="AI145" i="3"/>
  <c r="AI118" i="3"/>
  <c r="AI146" i="3"/>
  <c r="AI119" i="3"/>
  <c r="AI147" i="3"/>
  <c r="AI120" i="3"/>
  <c r="AI148" i="3"/>
  <c r="AI121" i="3"/>
  <c r="AI149" i="3"/>
  <c r="AI122" i="3"/>
  <c r="AI150" i="3"/>
  <c r="AI123" i="3"/>
  <c r="AI151" i="3"/>
  <c r="AI124" i="3"/>
  <c r="AI152" i="3"/>
  <c r="AI125" i="3"/>
  <c r="AI153" i="3"/>
  <c r="AI154" i="3"/>
  <c r="AJ114" i="3"/>
  <c r="AJ142" i="3"/>
  <c r="AJ115" i="3"/>
  <c r="AJ143" i="3"/>
  <c r="AJ116" i="3"/>
  <c r="AJ144" i="3"/>
  <c r="AJ117" i="3"/>
  <c r="AJ145" i="3"/>
  <c r="AJ118" i="3"/>
  <c r="AJ146" i="3"/>
  <c r="AJ119" i="3"/>
  <c r="AJ147" i="3"/>
  <c r="AJ120" i="3"/>
  <c r="AJ148" i="3"/>
  <c r="AJ121" i="3"/>
  <c r="AJ149" i="3"/>
  <c r="AJ122" i="3"/>
  <c r="AJ150" i="3"/>
  <c r="AJ123" i="3"/>
  <c r="AJ151" i="3"/>
  <c r="AJ124" i="3"/>
  <c r="AJ152" i="3"/>
  <c r="AJ125" i="3"/>
  <c r="AJ153" i="3"/>
  <c r="AJ154" i="3"/>
  <c r="AJ155" i="3"/>
  <c r="P157" i="3"/>
  <c r="K79" i="4"/>
  <c r="C66" i="4"/>
  <c r="C72" i="4"/>
  <c r="W92" i="2"/>
  <c r="X92" i="2"/>
  <c r="Y92" i="2"/>
  <c r="Z92" i="2"/>
  <c r="AA40" i="2"/>
  <c r="AA92" i="2"/>
  <c r="AB40" i="2"/>
  <c r="AB92" i="2"/>
  <c r="W93" i="2"/>
  <c r="X93" i="2"/>
  <c r="Y93" i="2"/>
  <c r="Z93" i="2"/>
  <c r="AA41" i="2"/>
  <c r="AA93" i="2"/>
  <c r="AB41" i="2"/>
  <c r="AB93" i="2"/>
  <c r="W94" i="2"/>
  <c r="X94" i="2"/>
  <c r="Y94" i="2"/>
  <c r="Z94" i="2"/>
  <c r="AA42" i="2"/>
  <c r="AA94" i="2"/>
  <c r="AB42" i="2"/>
  <c r="AB94" i="2"/>
  <c r="W95" i="2"/>
  <c r="X95" i="2"/>
  <c r="Y95" i="2"/>
  <c r="Z95" i="2"/>
  <c r="AA43" i="2"/>
  <c r="AA95" i="2"/>
  <c r="AB43" i="2"/>
  <c r="AB95" i="2"/>
  <c r="W96" i="2"/>
  <c r="X96" i="2"/>
  <c r="Y96" i="2"/>
  <c r="Z96" i="2"/>
  <c r="AA44" i="2"/>
  <c r="AA96" i="2"/>
  <c r="AB44" i="2"/>
  <c r="AB96" i="2"/>
  <c r="W97" i="2"/>
  <c r="X97" i="2"/>
  <c r="Y97" i="2"/>
  <c r="Z97" i="2"/>
  <c r="AA45" i="2"/>
  <c r="AA97" i="2"/>
  <c r="AB45" i="2"/>
  <c r="AB97" i="2"/>
  <c r="W98" i="2"/>
  <c r="X98" i="2"/>
  <c r="Y98" i="2"/>
  <c r="Z98" i="2"/>
  <c r="AA46" i="2"/>
  <c r="AA98" i="2"/>
  <c r="AB46" i="2"/>
  <c r="AB98" i="2"/>
  <c r="W99" i="2"/>
  <c r="X99" i="2"/>
  <c r="Y99" i="2"/>
  <c r="Z99" i="2"/>
  <c r="AA47" i="2"/>
  <c r="AA99" i="2"/>
  <c r="AB47" i="2"/>
  <c r="AB99" i="2"/>
  <c r="W100" i="2"/>
  <c r="X100" i="2"/>
  <c r="Y100" i="2"/>
  <c r="Z100" i="2"/>
  <c r="AA48" i="2"/>
  <c r="AA100" i="2"/>
  <c r="AB48" i="2"/>
  <c r="AB100" i="2"/>
  <c r="W101" i="2"/>
  <c r="X101" i="2"/>
  <c r="Y101" i="2"/>
  <c r="Z101" i="2"/>
  <c r="AA49" i="2"/>
  <c r="AA101" i="2"/>
  <c r="AB49" i="2"/>
  <c r="AB101" i="2"/>
  <c r="W102" i="2"/>
  <c r="X102" i="2"/>
  <c r="Y102" i="2"/>
  <c r="Z102" i="2"/>
  <c r="AA50" i="2"/>
  <c r="AA102" i="2"/>
  <c r="AB50" i="2"/>
  <c r="AB102" i="2"/>
  <c r="W103" i="2"/>
  <c r="X103" i="2"/>
  <c r="Y103" i="2"/>
  <c r="Z103" i="2"/>
  <c r="AA51" i="2"/>
  <c r="AA103" i="2"/>
  <c r="AB51" i="2"/>
  <c r="AB103" i="2"/>
  <c r="AB106" i="2"/>
  <c r="C71" i="4"/>
  <c r="F66" i="4"/>
  <c r="E67" i="4"/>
  <c r="D80" i="4"/>
  <c r="D81" i="4"/>
  <c r="C81" i="4"/>
  <c r="E81" i="4"/>
  <c r="C80" i="4"/>
  <c r="E80" i="4"/>
  <c r="C56" i="2"/>
  <c r="C111" i="2"/>
  <c r="C57" i="2"/>
  <c r="C112" i="2"/>
  <c r="C58" i="2"/>
  <c r="C113" i="2"/>
  <c r="C59" i="2"/>
  <c r="C114" i="2"/>
  <c r="C60" i="2"/>
  <c r="C115" i="2"/>
  <c r="C61" i="2"/>
  <c r="C116" i="2"/>
  <c r="C62" i="2"/>
  <c r="C117" i="2"/>
  <c r="C63" i="2"/>
  <c r="C118" i="2"/>
  <c r="C64" i="2"/>
  <c r="C119" i="2"/>
  <c r="C65" i="2"/>
  <c r="C120" i="2"/>
  <c r="C66" i="2"/>
  <c r="C121" i="2"/>
  <c r="C67" i="2"/>
  <c r="C122" i="2"/>
  <c r="C124" i="2"/>
  <c r="D56" i="2"/>
  <c r="D111" i="2"/>
  <c r="D57" i="2"/>
  <c r="D112" i="2"/>
  <c r="D58" i="2"/>
  <c r="D113" i="2"/>
  <c r="D59" i="2"/>
  <c r="D114" i="2"/>
  <c r="D60" i="2"/>
  <c r="D115" i="2"/>
  <c r="D61" i="2"/>
  <c r="D116" i="2"/>
  <c r="D62" i="2"/>
  <c r="D117" i="2"/>
  <c r="D63" i="2"/>
  <c r="D118" i="2"/>
  <c r="D64" i="2"/>
  <c r="D119" i="2"/>
  <c r="D65" i="2"/>
  <c r="D120" i="2"/>
  <c r="D66" i="2"/>
  <c r="D121" i="2"/>
  <c r="D67" i="2"/>
  <c r="D122" i="2"/>
  <c r="D124" i="2"/>
  <c r="E111" i="2"/>
  <c r="F111" i="2"/>
  <c r="E112" i="2"/>
  <c r="F112" i="2"/>
  <c r="E113" i="2"/>
  <c r="F113" i="2"/>
  <c r="E114" i="2"/>
  <c r="F114" i="2"/>
  <c r="E115" i="2"/>
  <c r="F115" i="2"/>
  <c r="F61" i="2"/>
  <c r="E116" i="2"/>
  <c r="F116" i="2"/>
  <c r="F62" i="2"/>
  <c r="E117" i="2"/>
  <c r="F117" i="2"/>
  <c r="F63" i="2"/>
  <c r="E118" i="2"/>
  <c r="F118" i="2"/>
  <c r="F64" i="2"/>
  <c r="E119" i="2"/>
  <c r="F119" i="2"/>
  <c r="E120" i="2"/>
  <c r="F120" i="2"/>
  <c r="E121" i="2"/>
  <c r="F121" i="2"/>
  <c r="E122" i="2"/>
  <c r="F122" i="2"/>
  <c r="F124" i="2"/>
  <c r="G111" i="2"/>
  <c r="G112" i="2"/>
  <c r="G113" i="2"/>
  <c r="G114" i="2"/>
  <c r="G115" i="2"/>
  <c r="G61" i="2"/>
  <c r="G116" i="2"/>
  <c r="G62" i="2"/>
  <c r="G117" i="2"/>
  <c r="G63" i="2"/>
  <c r="G118" i="2"/>
  <c r="G64" i="2"/>
  <c r="G119" i="2"/>
  <c r="G120" i="2"/>
  <c r="G121" i="2"/>
  <c r="G122" i="2"/>
  <c r="G124" i="2"/>
  <c r="H56" i="2"/>
  <c r="H111" i="2"/>
  <c r="H57" i="2"/>
  <c r="H112" i="2"/>
  <c r="H58" i="2"/>
  <c r="H113" i="2"/>
  <c r="H59" i="2"/>
  <c r="H114" i="2"/>
  <c r="H60" i="2"/>
  <c r="H115" i="2"/>
  <c r="H116" i="2"/>
  <c r="H117" i="2"/>
  <c r="H118" i="2"/>
  <c r="H119" i="2"/>
  <c r="H65" i="2"/>
  <c r="H120" i="2"/>
  <c r="H66" i="2"/>
  <c r="H121" i="2"/>
  <c r="H67" i="2"/>
  <c r="H122" i="2"/>
  <c r="H124" i="2"/>
  <c r="I56" i="2"/>
  <c r="I111" i="2"/>
  <c r="I57" i="2"/>
  <c r="I112" i="2"/>
  <c r="I58" i="2"/>
  <c r="I113" i="2"/>
  <c r="I59" i="2"/>
  <c r="I114" i="2"/>
  <c r="I60" i="2"/>
  <c r="I115" i="2"/>
  <c r="I116" i="2"/>
  <c r="I117" i="2"/>
  <c r="I118" i="2"/>
  <c r="I119" i="2"/>
  <c r="I65" i="2"/>
  <c r="I120" i="2"/>
  <c r="I66" i="2"/>
  <c r="I121" i="2"/>
  <c r="I67" i="2"/>
  <c r="I122" i="2"/>
  <c r="I124" i="2"/>
  <c r="I125" i="2"/>
  <c r="K78" i="4"/>
  <c r="C61" i="4"/>
  <c r="K80" i="4"/>
  <c r="P158" i="3"/>
  <c r="Z25" i="3"/>
  <c r="Z26" i="3"/>
  <c r="Z27" i="3"/>
  <c r="Z28" i="3"/>
  <c r="W20" i="3"/>
  <c r="W21" i="3"/>
  <c r="W22" i="3"/>
  <c r="W23" i="3"/>
  <c r="W24" i="3"/>
  <c r="W29" i="3"/>
  <c r="W30" i="3"/>
  <c r="W31" i="3"/>
  <c r="Y25" i="3"/>
  <c r="Y26" i="3"/>
  <c r="Y27" i="3"/>
  <c r="Y28" i="3"/>
  <c r="K84" i="3"/>
  <c r="L84" i="3"/>
  <c r="M84" i="3"/>
  <c r="N84" i="3"/>
  <c r="O84" i="3"/>
  <c r="P84" i="3"/>
  <c r="K85" i="3"/>
  <c r="L85" i="3"/>
  <c r="M85" i="3"/>
  <c r="N85" i="3"/>
  <c r="O85" i="3"/>
  <c r="P85" i="3"/>
  <c r="K86" i="3"/>
  <c r="L86" i="3"/>
  <c r="M86" i="3"/>
  <c r="N86" i="3"/>
  <c r="O86" i="3"/>
  <c r="P86" i="3"/>
  <c r="K87" i="3"/>
  <c r="L87" i="3"/>
  <c r="M87" i="3"/>
  <c r="N87" i="3"/>
  <c r="O87" i="3"/>
  <c r="P87" i="3"/>
  <c r="K88" i="3"/>
  <c r="L88" i="3"/>
  <c r="M88" i="3"/>
  <c r="N88" i="3"/>
  <c r="O88" i="3"/>
  <c r="P88" i="3"/>
  <c r="K89" i="3"/>
  <c r="L89" i="3"/>
  <c r="M89" i="3"/>
  <c r="N89" i="3"/>
  <c r="O89" i="3"/>
  <c r="P89" i="3"/>
  <c r="K90" i="3"/>
  <c r="L90" i="3"/>
  <c r="M90" i="3"/>
  <c r="N90" i="3"/>
  <c r="O90" i="3"/>
  <c r="P90" i="3"/>
  <c r="K91" i="3"/>
  <c r="L91" i="3"/>
  <c r="M91" i="3"/>
  <c r="N91" i="3"/>
  <c r="O91" i="3"/>
  <c r="P91" i="3"/>
  <c r="K92" i="3"/>
  <c r="L92" i="3"/>
  <c r="M92" i="3"/>
  <c r="N92" i="3"/>
  <c r="O92" i="3"/>
  <c r="P92" i="3"/>
  <c r="K93" i="3"/>
  <c r="L93" i="3"/>
  <c r="M93" i="3"/>
  <c r="N93" i="3"/>
  <c r="O93" i="3"/>
  <c r="P93" i="3"/>
  <c r="K94" i="3"/>
  <c r="L94" i="3"/>
  <c r="M94" i="3"/>
  <c r="N94" i="3"/>
  <c r="O94" i="3"/>
  <c r="P94" i="3"/>
  <c r="L83" i="3"/>
  <c r="M83" i="3"/>
  <c r="N83" i="3"/>
  <c r="O83" i="3"/>
  <c r="P83" i="3"/>
  <c r="K83" i="3"/>
  <c r="R33" i="3"/>
  <c r="B33" i="3"/>
  <c r="P159" i="3"/>
  <c r="P74" i="2"/>
  <c r="Q74" i="2"/>
  <c r="P75" i="2"/>
  <c r="Q75" i="2"/>
  <c r="P76" i="2"/>
  <c r="Q76" i="2"/>
  <c r="P77" i="2"/>
  <c r="Q77" i="2"/>
  <c r="P78" i="2"/>
  <c r="Q78" i="2"/>
  <c r="R79" i="2"/>
  <c r="S79" i="2"/>
  <c r="R80" i="2"/>
  <c r="S80" i="2"/>
  <c r="R81" i="2"/>
  <c r="S81" i="2"/>
  <c r="R82" i="2"/>
  <c r="S82" i="2"/>
  <c r="P83" i="2"/>
  <c r="Q83" i="2"/>
  <c r="P84" i="2"/>
  <c r="Q84" i="2"/>
  <c r="P85" i="2"/>
  <c r="Q85" i="2"/>
  <c r="K24" i="2"/>
  <c r="K74" i="2"/>
  <c r="K25" i="2"/>
  <c r="K75" i="2"/>
  <c r="K26" i="2"/>
  <c r="K76" i="2"/>
  <c r="K27" i="2"/>
  <c r="K77" i="2"/>
  <c r="K28" i="2"/>
  <c r="K78" i="2"/>
  <c r="K29" i="2"/>
  <c r="K79" i="2"/>
  <c r="K30" i="2"/>
  <c r="K80" i="2"/>
  <c r="K31" i="2"/>
  <c r="K81" i="2"/>
  <c r="K32" i="2"/>
  <c r="K82" i="2"/>
  <c r="K33" i="2"/>
  <c r="K83" i="2"/>
  <c r="K34" i="2"/>
  <c r="K84" i="2"/>
  <c r="K35" i="2"/>
  <c r="K85" i="2"/>
  <c r="K87" i="2"/>
  <c r="L24" i="2"/>
  <c r="L74" i="2"/>
  <c r="L25" i="2"/>
  <c r="L75" i="2"/>
  <c r="L26" i="2"/>
  <c r="L76" i="2"/>
  <c r="L27" i="2"/>
  <c r="L77" i="2"/>
  <c r="L28" i="2"/>
  <c r="L78" i="2"/>
  <c r="L29" i="2"/>
  <c r="L79" i="2"/>
  <c r="L30" i="2"/>
  <c r="L80" i="2"/>
  <c r="L31" i="2"/>
  <c r="L81" i="2"/>
  <c r="L32" i="2"/>
  <c r="L82" i="2"/>
  <c r="L33" i="2"/>
  <c r="L83" i="2"/>
  <c r="L34" i="2"/>
  <c r="L84" i="2"/>
  <c r="L35" i="2"/>
  <c r="L85" i="2"/>
  <c r="L87" i="2"/>
  <c r="F74" i="2"/>
  <c r="F75" i="2"/>
  <c r="F76" i="2"/>
  <c r="F77" i="2"/>
  <c r="F78" i="2"/>
  <c r="F83" i="2"/>
  <c r="F84" i="2"/>
  <c r="F85" i="2"/>
  <c r="G74" i="2"/>
  <c r="G75" i="2"/>
  <c r="G76" i="2"/>
  <c r="G77" i="2"/>
  <c r="G78" i="2"/>
  <c r="G83" i="2"/>
  <c r="G84" i="2"/>
  <c r="G85" i="2"/>
  <c r="H79" i="2"/>
  <c r="H80" i="2"/>
  <c r="H81" i="2"/>
  <c r="H82" i="2"/>
  <c r="I79" i="2"/>
  <c r="I80" i="2"/>
  <c r="I81" i="2"/>
  <c r="I82" i="2"/>
  <c r="X87" i="2"/>
  <c r="Y87" i="2"/>
  <c r="Z87" i="2"/>
  <c r="AA87" i="2"/>
  <c r="AB87" i="2"/>
  <c r="W87" i="2"/>
  <c r="K56" i="2"/>
  <c r="K57" i="2"/>
  <c r="K58" i="2"/>
  <c r="K59" i="2"/>
  <c r="K60" i="2"/>
  <c r="K61" i="2"/>
  <c r="K62" i="2"/>
  <c r="K63" i="2"/>
  <c r="K64" i="2"/>
  <c r="K65" i="2"/>
  <c r="K66" i="2"/>
  <c r="K67" i="2"/>
  <c r="L56" i="2"/>
  <c r="L57" i="2"/>
  <c r="L58" i="2"/>
  <c r="L59" i="2"/>
  <c r="L60" i="2"/>
  <c r="L61" i="2"/>
  <c r="L62" i="2"/>
  <c r="L63" i="2"/>
  <c r="L64" i="2"/>
  <c r="L65" i="2"/>
  <c r="L66" i="2"/>
  <c r="L67" i="2"/>
  <c r="M56" i="2"/>
  <c r="M57" i="2"/>
  <c r="M58" i="2"/>
  <c r="M59" i="2"/>
  <c r="M60" i="2"/>
  <c r="M61" i="2"/>
  <c r="M62" i="2"/>
  <c r="M63" i="2"/>
  <c r="M64" i="2"/>
  <c r="M65" i="2"/>
  <c r="M66" i="2"/>
  <c r="M67" i="2"/>
  <c r="N56" i="2"/>
  <c r="N57" i="2"/>
  <c r="N58" i="2"/>
  <c r="N59" i="2"/>
  <c r="N60" i="2"/>
  <c r="N61" i="2"/>
  <c r="N62" i="2"/>
  <c r="N63" i="2"/>
  <c r="N64" i="2"/>
  <c r="N65" i="2"/>
  <c r="N66" i="2"/>
  <c r="N67" i="2"/>
  <c r="I54" i="2"/>
  <c r="P92" i="2"/>
  <c r="Q92" i="2"/>
  <c r="P93" i="2"/>
  <c r="Q93" i="2"/>
  <c r="P94" i="2"/>
  <c r="Q94" i="2"/>
  <c r="P95" i="2"/>
  <c r="Q95" i="2"/>
  <c r="P96" i="2"/>
  <c r="Q96" i="2"/>
  <c r="R97" i="2"/>
  <c r="S97" i="2"/>
  <c r="R98" i="2"/>
  <c r="S98" i="2"/>
  <c r="R99" i="2"/>
  <c r="S99" i="2"/>
  <c r="R100" i="2"/>
  <c r="S100" i="2"/>
  <c r="P101" i="2"/>
  <c r="Q101" i="2"/>
  <c r="P102" i="2"/>
  <c r="Q102" i="2"/>
  <c r="P103" i="2"/>
  <c r="Q103" i="2"/>
  <c r="AB125" i="2"/>
  <c r="AB124" i="2"/>
  <c r="AA124" i="2"/>
  <c r="Z124" i="2"/>
  <c r="Y124" i="2"/>
  <c r="X124" i="2"/>
  <c r="W124" i="2"/>
  <c r="U124" i="2"/>
  <c r="T124" i="2"/>
  <c r="S124" i="2"/>
  <c r="R124" i="2"/>
  <c r="Q124" i="2"/>
  <c r="P124" i="2"/>
  <c r="Y50" i="2"/>
  <c r="Z50" i="2"/>
  <c r="Y51" i="2"/>
  <c r="Z51" i="2"/>
  <c r="Z49" i="2"/>
  <c r="Y49" i="2"/>
  <c r="W46" i="2"/>
  <c r="X46" i="2"/>
  <c r="W47" i="2"/>
  <c r="X47" i="2"/>
  <c r="W48" i="2"/>
  <c r="X48" i="2"/>
  <c r="X45" i="2"/>
  <c r="W45" i="2"/>
  <c r="Y41" i="2"/>
  <c r="Z41" i="2"/>
  <c r="Y42" i="2"/>
  <c r="Z42" i="2"/>
  <c r="Y43" i="2"/>
  <c r="Z43" i="2"/>
  <c r="Y44" i="2"/>
  <c r="Z44" i="2"/>
  <c r="Z40" i="2"/>
  <c r="Y40" i="2"/>
  <c r="X105" i="2"/>
  <c r="Y105" i="2"/>
  <c r="Z105" i="2"/>
  <c r="W105" i="2"/>
  <c r="J8" i="2"/>
  <c r="J9" i="2"/>
  <c r="J10" i="2"/>
  <c r="J11" i="2"/>
  <c r="J12" i="2"/>
  <c r="J13" i="2"/>
  <c r="J14" i="2"/>
  <c r="J15" i="2"/>
  <c r="J16" i="2"/>
  <c r="J17" i="2"/>
  <c r="J18" i="2"/>
  <c r="J7" i="2"/>
  <c r="K112" i="2"/>
  <c r="K113" i="2"/>
  <c r="K114" i="2"/>
  <c r="K115" i="2"/>
  <c r="K116" i="2"/>
  <c r="K117" i="2"/>
  <c r="K118" i="2"/>
  <c r="K119" i="2"/>
  <c r="K120" i="2"/>
  <c r="K121" i="2"/>
  <c r="K122" i="2"/>
  <c r="L112" i="2"/>
  <c r="L113" i="2"/>
  <c r="L114" i="2"/>
  <c r="L115" i="2"/>
  <c r="L116" i="2"/>
  <c r="L117" i="2"/>
  <c r="L118" i="2"/>
  <c r="L119" i="2"/>
  <c r="L120" i="2"/>
  <c r="L121" i="2"/>
  <c r="L122" i="2"/>
  <c r="L111" i="2"/>
  <c r="L124" i="2"/>
  <c r="M112" i="2"/>
  <c r="M113" i="2"/>
  <c r="M114" i="2"/>
  <c r="M115" i="2"/>
  <c r="M116" i="2"/>
  <c r="M117" i="2"/>
  <c r="M118" i="2"/>
  <c r="M119" i="2"/>
  <c r="M120" i="2"/>
  <c r="M121" i="2"/>
  <c r="M122" i="2"/>
  <c r="M111" i="2"/>
  <c r="M124" i="2"/>
  <c r="N112" i="2"/>
  <c r="N113" i="2"/>
  <c r="N114" i="2"/>
  <c r="N115" i="2"/>
  <c r="N116" i="2"/>
  <c r="N117" i="2"/>
  <c r="N118" i="2"/>
  <c r="N119" i="2"/>
  <c r="N120" i="2"/>
  <c r="N121" i="2"/>
  <c r="N122" i="2"/>
  <c r="N111" i="2"/>
  <c r="N124" i="2"/>
  <c r="K111" i="2"/>
  <c r="K124" i="2"/>
  <c r="N125" i="2"/>
  <c r="AA105" i="2"/>
  <c r="AB105" i="2"/>
  <c r="R24" i="2"/>
  <c r="R74" i="2"/>
  <c r="S24" i="2"/>
  <c r="S74" i="2"/>
  <c r="M24" i="2"/>
  <c r="T24" i="2"/>
  <c r="T74" i="2"/>
  <c r="N24" i="2"/>
  <c r="U24" i="2"/>
  <c r="U74" i="2"/>
  <c r="R25" i="2"/>
  <c r="R75" i="2"/>
  <c r="S25" i="2"/>
  <c r="S75" i="2"/>
  <c r="M25" i="2"/>
  <c r="T25" i="2"/>
  <c r="T75" i="2"/>
  <c r="N25" i="2"/>
  <c r="U25" i="2"/>
  <c r="U75" i="2"/>
  <c r="R26" i="2"/>
  <c r="R76" i="2"/>
  <c r="S26" i="2"/>
  <c r="S76" i="2"/>
  <c r="M26" i="2"/>
  <c r="T26" i="2"/>
  <c r="T76" i="2"/>
  <c r="N26" i="2"/>
  <c r="U26" i="2"/>
  <c r="U76" i="2"/>
  <c r="R27" i="2"/>
  <c r="R77" i="2"/>
  <c r="S27" i="2"/>
  <c r="S77" i="2"/>
  <c r="M27" i="2"/>
  <c r="T27" i="2"/>
  <c r="T77" i="2"/>
  <c r="N27" i="2"/>
  <c r="U27" i="2"/>
  <c r="U77" i="2"/>
  <c r="R28" i="2"/>
  <c r="R78" i="2"/>
  <c r="S28" i="2"/>
  <c r="S78" i="2"/>
  <c r="M28" i="2"/>
  <c r="T28" i="2"/>
  <c r="T78" i="2"/>
  <c r="N28" i="2"/>
  <c r="U28" i="2"/>
  <c r="U78" i="2"/>
  <c r="P29" i="2"/>
  <c r="P79" i="2"/>
  <c r="Q29" i="2"/>
  <c r="Q79" i="2"/>
  <c r="M29" i="2"/>
  <c r="T29" i="2"/>
  <c r="T79" i="2"/>
  <c r="N29" i="2"/>
  <c r="U29" i="2"/>
  <c r="U79" i="2"/>
  <c r="P30" i="2"/>
  <c r="P80" i="2"/>
  <c r="Q30" i="2"/>
  <c r="Q80" i="2"/>
  <c r="M30" i="2"/>
  <c r="T30" i="2"/>
  <c r="T80" i="2"/>
  <c r="N30" i="2"/>
  <c r="U30" i="2"/>
  <c r="U80" i="2"/>
  <c r="P31" i="2"/>
  <c r="P81" i="2"/>
  <c r="Q31" i="2"/>
  <c r="Q81" i="2"/>
  <c r="M31" i="2"/>
  <c r="T31" i="2"/>
  <c r="T81" i="2"/>
  <c r="N31" i="2"/>
  <c r="U31" i="2"/>
  <c r="U81" i="2"/>
  <c r="P32" i="2"/>
  <c r="P82" i="2"/>
  <c r="Q32" i="2"/>
  <c r="Q82" i="2"/>
  <c r="M32" i="2"/>
  <c r="T32" i="2"/>
  <c r="T82" i="2"/>
  <c r="N32" i="2"/>
  <c r="U32" i="2"/>
  <c r="U82" i="2"/>
  <c r="R33" i="2"/>
  <c r="R83" i="2"/>
  <c r="S33" i="2"/>
  <c r="S83" i="2"/>
  <c r="M33" i="2"/>
  <c r="T33" i="2"/>
  <c r="T83" i="2"/>
  <c r="N33" i="2"/>
  <c r="U33" i="2"/>
  <c r="U83" i="2"/>
  <c r="R34" i="2"/>
  <c r="R84" i="2"/>
  <c r="S34" i="2"/>
  <c r="S84" i="2"/>
  <c r="M34" i="2"/>
  <c r="T34" i="2"/>
  <c r="T84" i="2"/>
  <c r="N34" i="2"/>
  <c r="U34" i="2"/>
  <c r="U84" i="2"/>
  <c r="R35" i="2"/>
  <c r="R85" i="2"/>
  <c r="S35" i="2"/>
  <c r="S85" i="2"/>
  <c r="M35" i="2"/>
  <c r="T35" i="2"/>
  <c r="T85" i="2"/>
  <c r="N35" i="2"/>
  <c r="U35" i="2"/>
  <c r="U85" i="2"/>
  <c r="U88" i="2"/>
  <c r="M74" i="2"/>
  <c r="M75" i="2"/>
  <c r="M76" i="2"/>
  <c r="M77" i="2"/>
  <c r="M78" i="2"/>
  <c r="M79" i="2"/>
  <c r="M80" i="2"/>
  <c r="M81" i="2"/>
  <c r="M82" i="2"/>
  <c r="M83" i="2"/>
  <c r="M84" i="2"/>
  <c r="M85" i="2"/>
  <c r="M87" i="2"/>
  <c r="N74" i="2"/>
  <c r="N75" i="2"/>
  <c r="N76" i="2"/>
  <c r="N77" i="2"/>
  <c r="N78" i="2"/>
  <c r="N79" i="2"/>
  <c r="N80" i="2"/>
  <c r="N81" i="2"/>
  <c r="N82" i="2"/>
  <c r="N83" i="2"/>
  <c r="N84" i="2"/>
  <c r="N85" i="2"/>
  <c r="N87" i="2"/>
  <c r="N88" i="2"/>
  <c r="T87" i="2"/>
  <c r="U87" i="2"/>
  <c r="T40" i="2"/>
  <c r="T92" i="2"/>
  <c r="T41" i="2"/>
  <c r="T93" i="2"/>
  <c r="T42" i="2"/>
  <c r="T94" i="2"/>
  <c r="T43" i="2"/>
  <c r="T95" i="2"/>
  <c r="T44" i="2"/>
  <c r="T96" i="2"/>
  <c r="T45" i="2"/>
  <c r="T97" i="2"/>
  <c r="T46" i="2"/>
  <c r="T98" i="2"/>
  <c r="T47" i="2"/>
  <c r="T99" i="2"/>
  <c r="T48" i="2"/>
  <c r="T100" i="2"/>
  <c r="T49" i="2"/>
  <c r="T101" i="2"/>
  <c r="T50" i="2"/>
  <c r="T102" i="2"/>
  <c r="T51" i="2"/>
  <c r="T103" i="2"/>
  <c r="T105" i="2"/>
  <c r="U40" i="2"/>
  <c r="U92" i="2"/>
  <c r="U41" i="2"/>
  <c r="U93" i="2"/>
  <c r="U42" i="2"/>
  <c r="U94" i="2"/>
  <c r="U43" i="2"/>
  <c r="U95" i="2"/>
  <c r="U44" i="2"/>
  <c r="U96" i="2"/>
  <c r="U45" i="2"/>
  <c r="U97" i="2"/>
  <c r="U46" i="2"/>
  <c r="U98" i="2"/>
  <c r="U47" i="2"/>
  <c r="U99" i="2"/>
  <c r="U48" i="2"/>
  <c r="U100" i="2"/>
  <c r="U49" i="2"/>
  <c r="U101" i="2"/>
  <c r="U50" i="2"/>
  <c r="U102" i="2"/>
  <c r="U51" i="2"/>
  <c r="U103" i="2"/>
  <c r="U105" i="2"/>
  <c r="R40" i="2"/>
  <c r="R92" i="2"/>
  <c r="S40" i="2"/>
  <c r="S92" i="2"/>
  <c r="R41" i="2"/>
  <c r="R93" i="2"/>
  <c r="S41" i="2"/>
  <c r="S93" i="2"/>
  <c r="R42" i="2"/>
  <c r="R94" i="2"/>
  <c r="S42" i="2"/>
  <c r="S94" i="2"/>
  <c r="R43" i="2"/>
  <c r="R95" i="2"/>
  <c r="S43" i="2"/>
  <c r="S95" i="2"/>
  <c r="R44" i="2"/>
  <c r="R96" i="2"/>
  <c r="S44" i="2"/>
  <c r="S96" i="2"/>
  <c r="P45" i="2"/>
  <c r="P97" i="2"/>
  <c r="Q45" i="2"/>
  <c r="Q97" i="2"/>
  <c r="P46" i="2"/>
  <c r="P98" i="2"/>
  <c r="Q46" i="2"/>
  <c r="Q98" i="2"/>
  <c r="P47" i="2"/>
  <c r="P99" i="2"/>
  <c r="Q47" i="2"/>
  <c r="Q99" i="2"/>
  <c r="P48" i="2"/>
  <c r="P100" i="2"/>
  <c r="Q48" i="2"/>
  <c r="Q100" i="2"/>
  <c r="R49" i="2"/>
  <c r="R101" i="2"/>
  <c r="S49" i="2"/>
  <c r="S101" i="2"/>
  <c r="R50" i="2"/>
  <c r="R102" i="2"/>
  <c r="S50" i="2"/>
  <c r="S102" i="2"/>
  <c r="R51" i="2"/>
  <c r="R103" i="2"/>
  <c r="S51" i="2"/>
  <c r="S103" i="2"/>
  <c r="U106" i="2"/>
  <c r="Q105" i="2"/>
  <c r="R105" i="2"/>
  <c r="S105" i="2"/>
  <c r="P105" i="2"/>
  <c r="P87" i="2"/>
  <c r="Q87" i="2"/>
  <c r="R87" i="2"/>
  <c r="S87" i="2"/>
  <c r="F79" i="2"/>
  <c r="F80" i="2"/>
  <c r="F81" i="2"/>
  <c r="F82" i="2"/>
  <c r="F87" i="2"/>
  <c r="G79" i="2"/>
  <c r="G80" i="2"/>
  <c r="G81" i="2"/>
  <c r="G82" i="2"/>
  <c r="G87" i="2"/>
  <c r="H74" i="2"/>
  <c r="H75" i="2"/>
  <c r="H76" i="2"/>
  <c r="H77" i="2"/>
  <c r="H78" i="2"/>
  <c r="H83" i="2"/>
  <c r="H84" i="2"/>
  <c r="H85" i="2"/>
  <c r="H87" i="2"/>
  <c r="I74" i="2"/>
  <c r="I75" i="2"/>
  <c r="I76" i="2"/>
  <c r="I77" i="2"/>
  <c r="I78" i="2"/>
  <c r="I83" i="2"/>
  <c r="I84" i="2"/>
  <c r="I85" i="2"/>
  <c r="I87" i="2"/>
  <c r="I88" i="2"/>
  <c r="A23" i="2"/>
  <c r="P40" i="1"/>
  <c r="I68" i="1"/>
</calcChain>
</file>

<file path=xl/comments1.xml><?xml version="1.0" encoding="utf-8"?>
<comments xmlns="http://schemas.openxmlformats.org/spreadsheetml/2006/main">
  <authors>
    <author>cyoung</author>
    <author>Chris Young</author>
    <author>CSY</author>
  </authors>
  <commentList>
    <comment ref="G10" authorId="0">
      <text>
        <r>
          <rPr>
            <b/>
            <sz val="10"/>
            <color indexed="81"/>
            <rFont val="Tahoma"/>
            <family val="2"/>
          </rPr>
          <t xml:space="preserve">Column autofills </t>
        </r>
        <r>
          <rPr>
            <sz val="10"/>
            <color indexed="81"/>
            <rFont val="Tahoma"/>
            <family val="2"/>
          </rPr>
          <t>with Monthly Peak values--</t>
        </r>
        <r>
          <rPr>
            <b/>
            <sz val="10"/>
            <color indexed="81"/>
            <rFont val="Tahoma"/>
            <family val="2"/>
          </rPr>
          <t>no need to enter.</t>
        </r>
        <r>
          <rPr>
            <sz val="10"/>
            <color indexed="81"/>
            <rFont val="Tahoma"/>
            <family val="2"/>
          </rPr>
          <t xml:space="preserve"> For most customers this assumption provides an equivalent result: most users should </t>
        </r>
        <r>
          <rPr>
            <i/>
            <sz val="10"/>
            <color indexed="81"/>
            <rFont val="Tahoma"/>
            <family val="2"/>
          </rPr>
          <t>let Excel enter these Period 2 values</t>
        </r>
        <r>
          <rPr>
            <sz val="10"/>
            <color indexed="81"/>
            <rFont val="Tahoma"/>
            <family val="2"/>
          </rPr>
          <t>. (Entering more detailed information may allow a more accurate standby estimate, if information is available.)</t>
        </r>
        <r>
          <rPr>
            <b/>
            <sz val="10"/>
            <color indexed="81"/>
            <rFont val="Tahoma"/>
            <family val="2"/>
          </rPr>
          <t xml:space="preserve">   </t>
        </r>
      </text>
    </comment>
    <comment ref="H10" authorId="1">
      <text>
        <r>
          <rPr>
            <sz val="9"/>
            <color indexed="81"/>
            <rFont val="Tahoma"/>
            <family val="2"/>
          </rPr>
          <t xml:space="preserve">If you do </t>
        </r>
        <r>
          <rPr>
            <b/>
            <sz val="9"/>
            <color indexed="81"/>
            <rFont val="Tahoma"/>
            <family val="2"/>
          </rPr>
          <t>not</t>
        </r>
        <r>
          <rPr>
            <sz val="9"/>
            <color indexed="81"/>
            <rFont val="Tahoma"/>
            <family val="2"/>
          </rPr>
          <t xml:space="preserve"> have off-peak kWh values fill this column with your </t>
        </r>
        <r>
          <rPr>
            <b/>
            <sz val="9"/>
            <color indexed="81"/>
            <rFont val="Tahoma"/>
            <family val="2"/>
          </rPr>
          <t>total</t>
        </r>
        <r>
          <rPr>
            <sz val="9"/>
            <color indexed="81"/>
            <rFont val="Tahoma"/>
            <family val="2"/>
          </rPr>
          <t xml:space="preserve"> kWh and Estimator will (invisibly &amp; automatically) impute on &amp; off peak consumption. If you </t>
        </r>
        <r>
          <rPr>
            <b/>
            <sz val="9"/>
            <color indexed="81"/>
            <rFont val="Tahoma"/>
            <family val="2"/>
          </rPr>
          <t>do have</t>
        </r>
        <r>
          <rPr>
            <sz val="9"/>
            <color indexed="81"/>
            <rFont val="Tahoma"/>
            <family val="2"/>
          </rPr>
          <t xml:space="preserve"> on and off peak data, fill this with peak consumption only. </t>
        </r>
      </text>
    </comment>
    <comment ref="I10" authorId="1">
      <text>
        <r>
          <rPr>
            <b/>
            <sz val="9"/>
            <color indexed="81"/>
            <rFont val="Tahoma"/>
            <family val="2"/>
          </rPr>
          <t>If you do not have off-peak kWh values leave blank</t>
        </r>
        <r>
          <rPr>
            <sz val="9"/>
            <color indexed="81"/>
            <rFont val="Tahoma"/>
            <family val="2"/>
          </rPr>
          <t xml:space="preserve"> and Estimator will (invisibly &amp; automatically) impute on &amp; off peak consumption. </t>
        </r>
      </text>
    </comment>
    <comment ref="K10" authorId="2">
      <text>
        <r>
          <rPr>
            <b/>
            <sz val="9"/>
            <color indexed="81"/>
            <rFont val="Tahoma"/>
            <family val="2"/>
          </rPr>
          <t xml:space="preserve">If on and off-peak information is not available, </t>
        </r>
        <r>
          <rPr>
            <sz val="9"/>
            <color indexed="81"/>
            <rFont val="Tahoma"/>
            <family val="2"/>
          </rPr>
          <t>enter the average monthly cost in the "</t>
        </r>
        <r>
          <rPr>
            <u/>
            <sz val="9"/>
            <color indexed="81"/>
            <rFont val="Tahoma"/>
            <family val="2"/>
          </rPr>
          <t>On-Peak</t>
        </r>
        <r>
          <rPr>
            <sz val="9"/>
            <color indexed="81"/>
            <rFont val="Tahoma"/>
            <family val="2"/>
          </rPr>
          <t xml:space="preserve">" column, and leave this column </t>
        </r>
        <r>
          <rPr>
            <u/>
            <sz val="9"/>
            <color indexed="81"/>
            <rFont val="Tahoma"/>
            <family val="2"/>
          </rPr>
          <t>blank</t>
        </r>
        <r>
          <rPr>
            <sz val="9"/>
            <color indexed="81"/>
            <rFont val="Tahoma"/>
            <family val="2"/>
          </rPr>
          <t>. (In this case Estimator will estimate adjustments to create on and off-peak commodity cost values.)</t>
        </r>
      </text>
    </comment>
    <comment ref="B17" authorId="0">
      <text>
        <r>
          <rPr>
            <b/>
            <sz val="9"/>
            <color indexed="81"/>
            <rFont val="Tahoma"/>
            <family val="2"/>
          </rPr>
          <t xml:space="preserve">Total site size, or maximum potential peak.
</t>
        </r>
        <r>
          <rPr>
            <sz val="9"/>
            <color indexed="81"/>
            <rFont val="Tahoma"/>
            <family val="2"/>
          </rPr>
          <t>(Maximum monthly kW shown for convenience in orange)</t>
        </r>
      </text>
    </comment>
    <comment ref="B20" authorId="1">
      <text>
        <r>
          <rPr>
            <b/>
            <sz val="8"/>
            <color indexed="81"/>
            <rFont val="Tahoma"/>
          </rPr>
          <t xml:space="preserve">What percentage of peak demand less is the site's average demand? (Allows estimate of as-used demand levels.) 
</t>
        </r>
        <r>
          <rPr>
            <sz val="8"/>
            <color indexed="81"/>
            <rFont val="Tahoma"/>
            <family val="2"/>
          </rPr>
          <t>No entry is necessary. See manual for explanation.</t>
        </r>
      </text>
    </comment>
    <comment ref="C21" authorId="1">
      <text>
        <r>
          <rPr>
            <b/>
            <sz val="9"/>
            <color indexed="81"/>
            <rFont val="Tahoma"/>
            <family val="2"/>
          </rPr>
          <t xml:space="preserve">Value determined automatically by building type selection above. 
</t>
        </r>
        <r>
          <rPr>
            <sz val="9"/>
            <color indexed="81"/>
            <rFont val="Tahoma"/>
            <family val="2"/>
          </rPr>
          <t xml:space="preserve">User override is possible, but once the formula is deleted it must be re-written manually. </t>
        </r>
        <r>
          <rPr>
            <b/>
            <sz val="9"/>
            <color indexed="81"/>
            <rFont val="Tahoma"/>
            <family val="2"/>
          </rPr>
          <t xml:space="preserve">
</t>
        </r>
        <r>
          <rPr>
            <sz val="9"/>
            <color indexed="81"/>
            <rFont val="Tahoma"/>
            <family val="2"/>
          </rPr>
          <t>The Excel formula is: INDEX(Tables!O40:O46,Tables!P40,1)</t>
        </r>
      </text>
    </comment>
    <comment ref="E30" authorId="1">
      <text>
        <r>
          <rPr>
            <b/>
            <sz val="8"/>
            <color indexed="81"/>
            <rFont val="Tahoma"/>
          </rPr>
          <t>mm/dd/yyyy</t>
        </r>
        <r>
          <rPr>
            <sz val="8"/>
            <color indexed="81"/>
            <rFont val="Tahoma"/>
          </rPr>
          <t xml:space="preserve">
Enter the projected date of initial operation.
</t>
        </r>
      </text>
    </comment>
    <comment ref="J30" authorId="1">
      <text>
        <r>
          <rPr>
            <sz val="8"/>
            <color indexed="81"/>
            <rFont val="Tahoma"/>
            <family val="2"/>
          </rPr>
          <t>See Manual for Designated Technology Rules</t>
        </r>
      </text>
    </comment>
    <comment ref="B36" authorId="0">
      <text>
        <r>
          <rPr>
            <sz val="8"/>
            <color indexed="81"/>
            <rFont val="Tahoma"/>
          </rPr>
          <t xml:space="preserve">kW Contract Demand level should usually be set at maximum demand level. </t>
        </r>
      </text>
    </comment>
    <comment ref="B38" authorId="1">
      <text>
        <r>
          <rPr>
            <sz val="8"/>
            <color indexed="81"/>
            <rFont val="Tahoma"/>
            <family val="2"/>
          </rPr>
          <t xml:space="preserve">If user </t>
        </r>
        <r>
          <rPr>
            <i/>
            <sz val="8"/>
            <color indexed="81"/>
            <rFont val="Tahoma"/>
            <family val="2"/>
          </rPr>
          <t>plans</t>
        </r>
        <r>
          <rPr>
            <sz val="8"/>
            <color indexed="81"/>
            <rFont val="Tahoma"/>
            <family val="2"/>
          </rPr>
          <t xml:space="preserve"> a small unit but genset is 15% of load or smaller, then a warning is issued.</t>
        </r>
        <r>
          <rPr>
            <sz val="8"/>
            <color indexed="81"/>
            <rFont val="Tahoma"/>
          </rPr>
          <t xml:space="preserve">
</t>
        </r>
      </text>
    </comment>
    <comment ref="B39" authorId="1">
      <text>
        <r>
          <rPr>
            <sz val="8"/>
            <color indexed="81"/>
            <rFont val="Tahoma"/>
          </rPr>
          <t>Warns if Nameplate capacity exceeds the product (Contract Demand Level * Avg. Demand Discount Factor).  Even if warning is not triggered the project may be oversized; your engineer should fully consider all relevant factors.</t>
        </r>
      </text>
    </comment>
    <comment ref="C47" authorId="1">
      <text>
        <r>
          <rPr>
            <b/>
            <sz val="8"/>
            <color indexed="81"/>
            <rFont val="Tahoma"/>
          </rPr>
          <t>Compares delivery charges only--not commodity energy costs.</t>
        </r>
        <r>
          <rPr>
            <sz val="8"/>
            <color indexed="81"/>
            <rFont val="Tahoma"/>
          </rPr>
          <t xml:space="preserve">
</t>
        </r>
      </text>
    </comment>
    <comment ref="B71" authorId="0">
      <text>
        <r>
          <rPr>
            <sz val="8"/>
            <color indexed="81"/>
            <rFont val="Tahoma"/>
          </rPr>
          <t>Assumes 0% reliability &amp; all peak day kW = monthly peak. Max theoretical as-used charges (Avg. Demand = 100% of monthly peak).</t>
        </r>
      </text>
    </comment>
    <comment ref="C71" authorId="1">
      <text>
        <r>
          <rPr>
            <sz val="8"/>
            <color indexed="81"/>
            <rFont val="Tahoma"/>
            <family val="2"/>
          </rPr>
          <t>This remainder = Customer Charges + Contract Demand Charges.</t>
        </r>
      </text>
    </comment>
    <comment ref="B72" authorId="0">
      <text>
        <r>
          <rPr>
            <sz val="8"/>
            <color indexed="81"/>
            <rFont val="Tahoma"/>
            <family val="2"/>
          </rPr>
          <t>Assumes as-used demand is always zero): CHP meets all peak demand and/or site never uses grid power during peak hours.</t>
        </r>
      </text>
    </comment>
    <comment ref="H75" authorId="1">
      <text>
        <r>
          <rPr>
            <b/>
            <sz val="8"/>
            <color indexed="81"/>
            <rFont val="Tahoma"/>
          </rPr>
          <t xml:space="preserve">Conditional Outputs: 
</t>
        </r>
        <r>
          <rPr>
            <sz val="8"/>
            <color indexed="81"/>
            <rFont val="Tahoma"/>
            <family val="2"/>
          </rPr>
          <t xml:space="preserve">Possible ADDITIONAL tariff savings by offsetting electric chiller load with CHP, only appear if customer indicates electric chillers are in use.
Assumes </t>
        </r>
        <r>
          <rPr>
            <sz val="8"/>
            <color indexed="10"/>
            <rFont val="Tahoma"/>
            <family val="2"/>
          </rPr>
          <t>10%</t>
        </r>
        <r>
          <rPr>
            <sz val="8"/>
            <color indexed="81"/>
            <rFont val="Tahoma"/>
            <family val="2"/>
          </rPr>
          <t xml:space="preserve"> of genset nameplate rating </t>
        </r>
        <r>
          <rPr>
            <sz val="8"/>
            <color indexed="10"/>
            <rFont val="Tahoma"/>
            <family val="2"/>
          </rPr>
          <t>(set in Tables page)</t>
        </r>
        <r>
          <rPr>
            <sz val="8"/>
            <color indexed="81"/>
            <rFont val="Tahoma"/>
            <family val="2"/>
          </rPr>
          <t xml:space="preserve">. </t>
        </r>
      </text>
    </comment>
  </commentList>
</comments>
</file>

<file path=xl/comments2.xml><?xml version="1.0" encoding="utf-8"?>
<comments xmlns="http://schemas.openxmlformats.org/spreadsheetml/2006/main">
  <authors>
    <author>cyoung</author>
    <author>Chris Young</author>
    <author>Kurt K Spaeth</author>
    <author>CSY</author>
  </authors>
  <commentList>
    <comment ref="AG3" authorId="0">
      <text>
        <r>
          <rPr>
            <sz val="8"/>
            <color indexed="81"/>
            <rFont val="Tahoma"/>
          </rPr>
          <t xml:space="preserve">Tariff gives these rates in </t>
        </r>
        <r>
          <rPr>
            <b/>
            <sz val="8"/>
            <color indexed="81"/>
            <rFont val="Tahoma"/>
            <family val="2"/>
          </rPr>
          <t>Cents</t>
        </r>
        <r>
          <rPr>
            <sz val="8"/>
            <color indexed="81"/>
            <rFont val="Tahoma"/>
          </rPr>
          <t xml:space="preserve">/kWh;  this section changes the rates to </t>
        </r>
        <r>
          <rPr>
            <b/>
            <sz val="8"/>
            <color indexed="81"/>
            <rFont val="Tahoma"/>
            <family val="2"/>
          </rPr>
          <t>$</t>
        </r>
        <r>
          <rPr>
            <sz val="8"/>
            <color indexed="81"/>
            <rFont val="Tahoma"/>
          </rPr>
          <t xml:space="preserve">/kWh. 
</t>
        </r>
      </text>
    </comment>
    <comment ref="B5" authorId="1">
      <text>
        <r>
          <rPr>
            <sz val="8"/>
            <color indexed="81"/>
            <rFont val="Tahoma"/>
          </rPr>
          <t xml:space="preserve">Output of rate class input selection box on "Inputs" sheet. 
Data located: </t>
        </r>
      </text>
    </comment>
    <comment ref="F5" authorId="1">
      <text>
        <r>
          <rPr>
            <b/>
            <sz val="8"/>
            <color indexed="81"/>
            <rFont val="Tahoma"/>
          </rPr>
          <t>8 - 6</t>
        </r>
        <r>
          <rPr>
            <sz val="8"/>
            <color indexed="81"/>
            <rFont val="Tahoma"/>
          </rPr>
          <t xml:space="preserve">
</t>
        </r>
      </text>
    </comment>
    <comment ref="G5" authorId="1">
      <text>
        <r>
          <rPr>
            <b/>
            <sz val="8"/>
            <color indexed="81"/>
            <rFont val="Tahoma"/>
          </rPr>
          <t>8 - 10</t>
        </r>
        <r>
          <rPr>
            <sz val="8"/>
            <color indexed="81"/>
            <rFont val="Tahoma"/>
          </rPr>
          <t xml:space="preserve">
</t>
        </r>
      </text>
    </comment>
    <comment ref="AA5" authorId="0">
      <text>
        <r>
          <rPr>
            <b/>
            <sz val="8"/>
            <color indexed="81"/>
            <rFont val="Tahoma"/>
          </rPr>
          <t>M-F, 8am - 6pm</t>
        </r>
      </text>
    </comment>
    <comment ref="AO5" authorId="0">
      <text>
        <r>
          <rPr>
            <sz val="10"/>
            <color indexed="81"/>
            <rFont val="Tahoma"/>
            <family val="2"/>
          </rPr>
          <t>Rates II and III charge for kWh both on-peak and "all other" (same as off-peak, but this uses "all other" for consistency)</t>
        </r>
      </text>
    </comment>
    <comment ref="J6" authorId="1">
      <text>
        <r>
          <rPr>
            <b/>
            <sz val="8"/>
            <color indexed="81"/>
            <rFont val="Tahoma"/>
          </rPr>
          <t xml:space="preserve">Not Used - </t>
        </r>
        <r>
          <rPr>
            <sz val="8"/>
            <color indexed="81"/>
            <rFont val="Tahoma"/>
          </rPr>
          <t xml:space="preserve">Holdover from earlier draft but not deleted b/c of column numbering in Row 1. 
</t>
        </r>
      </text>
    </comment>
    <comment ref="O6" authorId="0">
      <text>
        <r>
          <rPr>
            <b/>
            <sz val="8"/>
            <color indexed="81"/>
            <rFont val="Tahoma"/>
          </rPr>
          <t xml:space="preserve">1st 100 kW
</t>
        </r>
        <r>
          <rPr>
            <sz val="8"/>
            <color indexed="81"/>
            <rFont val="Tahoma"/>
          </rPr>
          <t xml:space="preserve">
</t>
        </r>
      </text>
    </comment>
    <comment ref="P6" authorId="0">
      <text>
        <r>
          <rPr>
            <b/>
            <sz val="8"/>
            <color indexed="81"/>
            <rFont val="Tahoma"/>
          </rPr>
          <t>next 800 kW (up to 900)</t>
        </r>
        <r>
          <rPr>
            <sz val="8"/>
            <color indexed="81"/>
            <rFont val="Tahoma"/>
          </rPr>
          <t xml:space="preserve">
</t>
        </r>
      </text>
    </comment>
    <comment ref="Q6" authorId="0">
      <text>
        <r>
          <rPr>
            <b/>
            <sz val="8"/>
            <color indexed="81"/>
            <rFont val="Tahoma"/>
          </rPr>
          <t>Next 1100 kW (up to 2000)</t>
        </r>
      </text>
    </comment>
    <comment ref="R6" authorId="0">
      <text>
        <r>
          <rPr>
            <b/>
            <sz val="8"/>
            <color indexed="81"/>
            <rFont val="Tahoma"/>
          </rPr>
          <t>Over 2,000 kW</t>
        </r>
        <r>
          <rPr>
            <sz val="8"/>
            <color indexed="81"/>
            <rFont val="Tahoma"/>
          </rPr>
          <t xml:space="preserve">
</t>
        </r>
      </text>
    </comment>
    <comment ref="Z6" authorId="0">
      <text>
        <r>
          <rPr>
            <b/>
            <sz val="8"/>
            <color indexed="81"/>
            <rFont val="Tahoma"/>
          </rPr>
          <t xml:space="preserve">Over 2,000 kW </t>
        </r>
        <r>
          <rPr>
            <sz val="8"/>
            <color indexed="81"/>
            <rFont val="Tahoma"/>
          </rPr>
          <t xml:space="preserve">
</t>
        </r>
      </text>
    </comment>
    <comment ref="AL6" authorId="0">
      <text>
        <r>
          <rPr>
            <b/>
            <sz val="8"/>
            <color indexed="81"/>
            <rFont val="Tahoma"/>
          </rPr>
          <t>Over 800,000 kWh</t>
        </r>
        <r>
          <rPr>
            <sz val="8"/>
            <color indexed="81"/>
            <rFont val="Tahoma"/>
          </rPr>
          <t xml:space="preserve">
</t>
        </r>
      </text>
    </comment>
    <comment ref="B8" authorId="0">
      <text>
        <r>
          <rPr>
            <b/>
            <sz val="8"/>
            <color indexed="81"/>
            <rFont val="Tahoma"/>
          </rPr>
          <t>Rate III set to = Rate I; tariff indicates SC-4 rates for "not subject to Rate II"</t>
        </r>
        <r>
          <rPr>
            <sz val="8"/>
            <color indexed="81"/>
            <rFont val="Tahoma"/>
          </rPr>
          <t xml:space="preserve">
</t>
        </r>
      </text>
    </comment>
    <comment ref="O8" authorId="0">
      <text>
        <r>
          <rPr>
            <b/>
            <sz val="8"/>
            <color indexed="81"/>
            <rFont val="Tahoma"/>
          </rPr>
          <t xml:space="preserve">Rate III - </t>
        </r>
        <r>
          <rPr>
            <sz val="8"/>
            <color indexed="81"/>
            <rFont val="Tahoma"/>
          </rPr>
          <t>Time of Use</t>
        </r>
        <r>
          <rPr>
            <sz val="8"/>
            <color indexed="81"/>
            <rFont val="Tahoma"/>
          </rPr>
          <t xml:space="preserve">
</t>
        </r>
      </text>
    </comment>
    <comment ref="X9" authorId="1">
      <text>
        <r>
          <rPr>
            <b/>
            <sz val="8"/>
            <color indexed="81"/>
            <rFont val="Tahoma"/>
          </rPr>
          <t>Over 100 kW</t>
        </r>
        <r>
          <rPr>
            <sz val="8"/>
            <color indexed="81"/>
            <rFont val="Tahoma"/>
          </rPr>
          <t xml:space="preserve">
</t>
        </r>
      </text>
    </comment>
    <comment ref="B11" authorId="0">
      <text>
        <r>
          <rPr>
            <b/>
            <sz val="8"/>
            <color indexed="81"/>
            <rFont val="Tahoma"/>
          </rPr>
          <t xml:space="preserve">Rate III set to = Rate I; </t>
        </r>
        <r>
          <rPr>
            <sz val="8"/>
            <color indexed="81"/>
            <rFont val="Tahoma"/>
          </rPr>
          <t xml:space="preserve">tariff indicates SC-4 rates for "not subject to Rate II"
</t>
        </r>
      </text>
    </comment>
    <comment ref="O11" authorId="0">
      <text>
        <r>
          <rPr>
            <b/>
            <sz val="8"/>
            <color indexed="81"/>
            <rFont val="Tahoma"/>
          </rPr>
          <t xml:space="preserve">Rate III - </t>
        </r>
        <r>
          <rPr>
            <sz val="8"/>
            <color indexed="81"/>
            <rFont val="Tahoma"/>
          </rPr>
          <t>Time of Use</t>
        </r>
      </text>
    </comment>
    <comment ref="X12" authorId="0">
      <text>
        <r>
          <rPr>
            <b/>
            <sz val="8"/>
            <color indexed="81"/>
            <rFont val="Tahoma"/>
          </rPr>
          <t>Over 900 kW</t>
        </r>
        <r>
          <rPr>
            <sz val="8"/>
            <color indexed="81"/>
            <rFont val="Tahoma"/>
          </rPr>
          <t xml:space="preserve">
</t>
        </r>
      </text>
    </comment>
    <comment ref="AL12" authorId="0">
      <text>
        <r>
          <rPr>
            <b/>
            <sz val="8"/>
            <color indexed="81"/>
            <rFont val="Tahoma"/>
          </rPr>
          <t>Over 15,000 kWh</t>
        </r>
        <r>
          <rPr>
            <sz val="8"/>
            <color indexed="81"/>
            <rFont val="Tahoma"/>
          </rPr>
          <t xml:space="preserve">
</t>
        </r>
      </text>
    </comment>
    <comment ref="B14" authorId="0">
      <text>
        <r>
          <rPr>
            <b/>
            <sz val="8"/>
            <color indexed="81"/>
            <rFont val="Tahoma"/>
          </rPr>
          <t xml:space="preserve">Rate III set to = Rate I; </t>
        </r>
        <r>
          <rPr>
            <sz val="8"/>
            <color indexed="81"/>
            <rFont val="Tahoma"/>
          </rPr>
          <t xml:space="preserve">tariff indicates SC-4 rates for "not subject to Rate II"
</t>
        </r>
      </text>
    </comment>
    <comment ref="O14" authorId="0">
      <text>
        <r>
          <rPr>
            <b/>
            <sz val="8"/>
            <color indexed="81"/>
            <rFont val="Tahoma"/>
          </rPr>
          <t xml:space="preserve">Rate III - </t>
        </r>
        <r>
          <rPr>
            <sz val="8"/>
            <color indexed="81"/>
            <rFont val="Tahoma"/>
          </rPr>
          <t>Time of Use</t>
        </r>
      </text>
    </comment>
    <comment ref="C15" authorId="0">
      <text>
        <r>
          <rPr>
            <sz val="8"/>
            <color indexed="81"/>
            <rFont val="Tahoma"/>
          </rPr>
          <t xml:space="preserve">Customers on SC-12 energy only rates are not assessed here; Customers who take service under SC-12 NON-demand rates are NOT subject to standby. A limited number of residential customers are in this rare situation. </t>
        </r>
      </text>
    </comment>
    <comment ref="B24" authorId="1">
      <text>
        <r>
          <rPr>
            <sz val="8"/>
            <color indexed="81"/>
            <rFont val="Tahoma"/>
          </rPr>
          <t xml:space="preserve">Indirect output of rate class selection on "Inputs" sheet--copied from main rate output above
Data located: </t>
        </r>
      </text>
    </comment>
    <comment ref="F24" authorId="1">
      <text>
        <r>
          <rPr>
            <sz val="8"/>
            <color indexed="81"/>
            <rFont val="Tahoma"/>
          </rPr>
          <t xml:space="preserve">AU1 = As-Used Demand, Period 1, and AU@=As-Used Demand Period 2
</t>
        </r>
      </text>
    </comment>
    <comment ref="D25" authorId="1">
      <text>
        <r>
          <rPr>
            <b/>
            <sz val="8"/>
            <color indexed="81"/>
            <rFont val="Tahoma"/>
          </rPr>
          <t xml:space="preserve">Dummy Data
</t>
        </r>
        <r>
          <rPr>
            <sz val="8"/>
            <color indexed="81"/>
            <rFont val="Tahoma"/>
          </rPr>
          <t xml:space="preserve">
</t>
        </r>
      </text>
    </comment>
    <comment ref="O40" authorId="0">
      <text>
        <r>
          <rPr>
            <b/>
            <sz val="8"/>
            <color indexed="81"/>
            <rFont val="Tahoma"/>
          </rPr>
          <t xml:space="preserve">cyoung: Output from Input "Building Type" selection. </t>
        </r>
        <r>
          <rPr>
            <sz val="8"/>
            <color indexed="81"/>
            <rFont val="Tahoma"/>
          </rPr>
          <t xml:space="preserve">
</t>
        </r>
      </text>
    </comment>
    <comment ref="P40" authorId="0">
      <text>
        <r>
          <rPr>
            <b/>
            <sz val="8"/>
            <color indexed="81"/>
            <rFont val="Tahoma"/>
          </rPr>
          <t xml:space="preserve">cyoung: Info only </t>
        </r>
        <r>
          <rPr>
            <sz val="8"/>
            <color indexed="81"/>
            <rFont val="Tahoma"/>
            <family val="2"/>
          </rPr>
          <t xml:space="preserve">output based on Building Type selection (input); </t>
        </r>
        <r>
          <rPr>
            <u/>
            <sz val="8"/>
            <color indexed="81"/>
            <rFont val="Tahoma"/>
            <family val="2"/>
          </rPr>
          <t>not used in calculation</t>
        </r>
        <r>
          <rPr>
            <sz val="8"/>
            <color indexed="81"/>
            <rFont val="Tahoma"/>
            <family val="2"/>
          </rPr>
          <t>,  to allow user override from Inputs (which changes cell below). 
It could be activated to prevent user override of the Input, but that is not recommended.</t>
        </r>
      </text>
    </comment>
    <comment ref="G41" authorId="0">
      <text>
        <r>
          <rPr>
            <sz val="8"/>
            <color indexed="81"/>
            <rFont val="Tahoma"/>
          </rPr>
          <t>Output of "Planned Operation" (D29) on Inputs &amp; Outputs sheet</t>
        </r>
      </text>
    </comment>
    <comment ref="K41" authorId="0">
      <text>
        <r>
          <rPr>
            <sz val="8"/>
            <color indexed="81"/>
            <rFont val="Tahoma"/>
            <family val="2"/>
          </rPr>
          <t>Output not yet assigned</t>
        </r>
      </text>
    </comment>
    <comment ref="P42" authorId="2">
      <text>
        <r>
          <rPr>
            <b/>
            <sz val="8"/>
            <color indexed="81"/>
            <rFont val="Tahoma"/>
          </rPr>
          <t xml:space="preserve">Simply equals front page, so user may override input there. 
</t>
        </r>
      </text>
    </comment>
    <comment ref="B45" authorId="0">
      <text>
        <r>
          <rPr>
            <b/>
            <sz val="8"/>
            <color indexed="81"/>
            <rFont val="Tahoma"/>
          </rPr>
          <t xml:space="preserve">Set in SC-14 RA Tariff 
Leaf 142 </t>
        </r>
        <r>
          <rPr>
            <sz val="8"/>
            <color indexed="81"/>
            <rFont val="Tahoma"/>
          </rPr>
          <t xml:space="preserve">
</t>
        </r>
      </text>
    </comment>
    <comment ref="G47" authorId="3">
      <text>
        <r>
          <rPr>
            <b/>
            <sz val="8"/>
            <color indexed="81"/>
            <rFont val="Tahoma"/>
          </rPr>
          <t>CSY:</t>
        </r>
        <r>
          <rPr>
            <sz val="8"/>
            <color indexed="81"/>
            <rFont val="Tahoma"/>
            <family val="2"/>
          </rPr>
          <t xml:space="preserve"> Set by "Location" input selection</t>
        </r>
        <r>
          <rPr>
            <sz val="8"/>
            <color indexed="81"/>
            <rFont val="Tahoma"/>
          </rPr>
          <t xml:space="preserve">
</t>
        </r>
      </text>
    </comment>
    <comment ref="G52" authorId="3">
      <text>
        <r>
          <rPr>
            <b/>
            <sz val="8"/>
            <color indexed="81"/>
            <rFont val="Tahoma"/>
          </rPr>
          <t>CSY:</t>
        </r>
        <r>
          <rPr>
            <sz val="8"/>
            <color indexed="81"/>
            <rFont val="Tahoma"/>
          </rPr>
          <t xml:space="preserve">
Set by "chiller" checkbox</t>
        </r>
      </text>
    </comment>
    <comment ref="M55" authorId="0">
      <text>
        <r>
          <rPr>
            <sz val="8"/>
            <color indexed="81"/>
            <rFont val="Tahoma"/>
            <family val="2"/>
          </rPr>
          <t xml:space="preserve">Assumed Chiller Demand Offset possible from thermal recovery (% off of genset nameplate). </t>
        </r>
        <r>
          <rPr>
            <b/>
            <sz val="8"/>
            <color indexed="81"/>
            <rFont val="Tahoma"/>
            <family val="2"/>
          </rPr>
          <t>Can set spreadsheet operation here.</t>
        </r>
      </text>
    </comment>
    <comment ref="M57" authorId="0">
      <text>
        <r>
          <rPr>
            <sz val="8"/>
            <color indexed="81"/>
            <rFont val="Tahoma"/>
            <family val="2"/>
          </rPr>
          <t xml:space="preserve">Assumed Chiller operates during </t>
        </r>
        <r>
          <rPr>
            <b/>
            <sz val="8"/>
            <color indexed="81"/>
            <rFont val="Tahoma"/>
            <family val="2"/>
          </rPr>
          <t>__%</t>
        </r>
        <r>
          <rPr>
            <sz val="8"/>
            <color indexed="81"/>
            <rFont val="Tahoma"/>
            <family val="2"/>
          </rPr>
          <t xml:space="preserve"> of summer peak hours</t>
        </r>
        <r>
          <rPr>
            <b/>
            <sz val="8"/>
            <color indexed="81"/>
            <rFont val="Tahoma"/>
          </rPr>
          <t xml:space="preserve">
Can set spreadsheet operation here.</t>
        </r>
      </text>
    </comment>
    <comment ref="M61" authorId="3">
      <text>
        <r>
          <rPr>
            <b/>
            <sz val="8"/>
            <color indexed="81"/>
            <rFont val="Tahoma"/>
          </rPr>
          <t xml:space="preserve">CSY: </t>
        </r>
        <r>
          <rPr>
            <sz val="8"/>
            <color indexed="81"/>
            <rFont val="Tahoma"/>
          </rPr>
          <t xml:space="preserve">If only average commodity prices are know, this inflates on-peak and deflates off-peak consumption.
</t>
        </r>
        <r>
          <rPr>
            <b/>
            <sz val="8"/>
            <color indexed="81"/>
            <rFont val="Tahoma"/>
            <family val="2"/>
          </rPr>
          <t>Can set spreadsheet operation here. (Rate I customers pay the same MSC all hours, so set these to 100%.)</t>
        </r>
      </text>
    </comment>
    <comment ref="B64" authorId="0">
      <text>
        <r>
          <rPr>
            <b/>
            <sz val="8"/>
            <color indexed="81"/>
            <rFont val="Tahoma"/>
          </rPr>
          <t xml:space="preserve">Set in SC-14 RA Tariff 
Leaf ___  </t>
        </r>
        <r>
          <rPr>
            <sz val="8"/>
            <color indexed="81"/>
            <rFont val="Tahoma"/>
          </rPr>
          <t xml:space="preserve">
</t>
        </r>
      </text>
    </comment>
    <comment ref="M65" authorId="3">
      <text>
        <r>
          <rPr>
            <b/>
            <sz val="8"/>
            <color indexed="81"/>
            <rFont val="Tahoma"/>
          </rPr>
          <t xml:space="preserve">CSY: </t>
        </r>
        <r>
          <rPr>
            <sz val="8"/>
            <color indexed="81"/>
            <rFont val="Tahoma"/>
          </rPr>
          <t xml:space="preserve">If only </t>
        </r>
        <r>
          <rPr>
            <i/>
            <sz val="8"/>
            <color indexed="81"/>
            <rFont val="Tahoma"/>
            <family val="2"/>
          </rPr>
          <t>total</t>
        </r>
        <r>
          <rPr>
            <sz val="8"/>
            <color indexed="81"/>
            <rFont val="Tahoma"/>
          </rPr>
          <t xml:space="preserve"> kWh consumption is know, this sets the % used on-peak, and leaves the rest as off-peak consumption. 
</t>
        </r>
        <r>
          <rPr>
            <b/>
            <sz val="8"/>
            <color indexed="81"/>
            <rFont val="Tahoma"/>
            <family val="2"/>
          </rPr>
          <t>Can set spreadsheet operation here. 100% means that off-peak consumption or prices are not relevant.</t>
        </r>
      </text>
    </comment>
    <comment ref="I68" authorId="1">
      <text>
        <r>
          <rPr>
            <b/>
            <sz val="8"/>
            <color indexed="81"/>
            <rFont val="Tahoma"/>
            <family val="2"/>
          </rPr>
          <t>Checks Sum  of days</t>
        </r>
      </text>
    </comment>
  </commentList>
</comments>
</file>

<file path=xl/comments3.xml><?xml version="1.0" encoding="utf-8"?>
<comments xmlns="http://schemas.openxmlformats.org/spreadsheetml/2006/main">
  <authors>
    <author>CSY</author>
    <author>cyoung</author>
    <author>Chris Young</author>
  </authors>
  <commentList>
    <comment ref="D1" authorId="0">
      <text>
        <r>
          <rPr>
            <b/>
            <sz val="8"/>
            <color indexed="81"/>
            <rFont val="Tahoma"/>
          </rPr>
          <t xml:space="preserve">CSY: </t>
        </r>
        <r>
          <rPr>
            <sz val="8"/>
            <color indexed="81"/>
            <rFont val="Tahoma"/>
            <family val="2"/>
          </rPr>
          <t>Info on Input selection.</t>
        </r>
        <r>
          <rPr>
            <sz val="8"/>
            <color indexed="81"/>
            <rFont val="Tahoma"/>
          </rPr>
          <t xml:space="preserve">
</t>
        </r>
      </text>
    </comment>
    <comment ref="I2" authorId="1">
      <text>
        <r>
          <rPr>
            <b/>
            <sz val="8"/>
            <color indexed="81"/>
            <rFont val="Tahoma"/>
          </rPr>
          <t>Data in "Tables" sheet</t>
        </r>
      </text>
    </comment>
    <comment ref="U2" authorId="1">
      <text>
        <r>
          <rPr>
            <sz val="8"/>
            <color indexed="81"/>
            <rFont val="Tahoma"/>
          </rPr>
          <t>Did not name this value, to maintain user ability input different discounts per month if desired (i.e. microturbines in summer)</t>
        </r>
      </text>
    </comment>
    <comment ref="E3" authorId="2">
      <text>
        <r>
          <rPr>
            <b/>
            <sz val="8"/>
            <color indexed="81"/>
            <rFont val="Tahoma"/>
          </rPr>
          <t xml:space="preserve">Not Yet Used: 
</t>
        </r>
        <r>
          <rPr>
            <sz val="8"/>
            <color indexed="81"/>
            <rFont val="Tahoma"/>
            <family val="2"/>
          </rPr>
          <t xml:space="preserve">Peak days 8am - 10pm
** While  this is blank some cells in OASC calculation (properly) remain zero** </t>
        </r>
      </text>
    </comment>
    <comment ref="N3" authorId="2">
      <text>
        <r>
          <rPr>
            <b/>
            <sz val="8"/>
            <color indexed="81"/>
            <rFont val="Tahoma"/>
          </rPr>
          <t xml:space="preserve">Not Yet Used: 
</t>
        </r>
        <r>
          <rPr>
            <sz val="8"/>
            <color indexed="81"/>
            <rFont val="Tahoma"/>
            <family val="2"/>
          </rPr>
          <t>Peak days 8am - 10pm</t>
        </r>
      </text>
    </comment>
    <comment ref="X3" authorId="1">
      <text>
        <r>
          <rPr>
            <b/>
            <sz val="8"/>
            <color indexed="81"/>
            <rFont val="Tahoma"/>
          </rPr>
          <t xml:space="preserve">Placeholder: </t>
        </r>
        <r>
          <rPr>
            <sz val="8"/>
            <color indexed="81"/>
            <rFont val="Tahoma"/>
            <family val="2"/>
          </rPr>
          <t>This simply equals the "on peak" production.</t>
        </r>
      </text>
    </comment>
    <comment ref="F4" authorId="1">
      <text>
        <r>
          <rPr>
            <sz val="8"/>
            <color indexed="81"/>
            <rFont val="Tahoma"/>
            <family val="2"/>
          </rPr>
          <t>Sets to zero if "on peak" operation is selected</t>
        </r>
      </text>
    </comment>
    <comment ref="J4" authorId="1">
      <text>
        <r>
          <rPr>
            <sz val="8"/>
            <color indexed="81"/>
            <rFont val="Tahoma"/>
            <family val="2"/>
          </rPr>
          <t>Sets to zero if "on peak" operation is selected</t>
        </r>
      </text>
    </comment>
    <comment ref="T18" authorId="1">
      <text>
        <r>
          <rPr>
            <sz val="8"/>
            <color indexed="81"/>
            <rFont val="Tahoma"/>
            <family val="2"/>
          </rPr>
          <t>Discount summer peak demand and energy use by %  off genset nameplate (summer months)</t>
        </r>
      </text>
    </comment>
    <comment ref="I19" authorId="2">
      <text>
        <r>
          <rPr>
            <b/>
            <sz val="8"/>
            <color indexed="81"/>
            <rFont val="Tahoma"/>
          </rPr>
          <t>B/c users may not know on</t>
        </r>
        <r>
          <rPr>
            <b/>
            <sz val="8"/>
            <color indexed="81"/>
            <rFont val="Tahoma"/>
            <family val="2"/>
          </rPr>
          <t xml:space="preserve"> v. </t>
        </r>
        <r>
          <rPr>
            <b/>
            <sz val="8"/>
            <color indexed="81"/>
            <rFont val="Tahoma"/>
          </rPr>
          <t xml:space="preserve">off peak kWh consumption, this makes assumption: </t>
        </r>
        <r>
          <rPr>
            <sz val="8"/>
            <color indexed="81"/>
            <rFont val="Tahoma"/>
            <family val="2"/>
          </rPr>
          <t xml:space="preserve">if only "peak" is entered, this splits consumption between on- and off-peak per a ratio set in Tables &amp; reported below. 
</t>
        </r>
        <r>
          <rPr>
            <u/>
            <sz val="8"/>
            <color indexed="81"/>
            <rFont val="Tahoma"/>
            <family val="2"/>
          </rPr>
          <t>Note</t>
        </r>
        <r>
          <rPr>
            <sz val="8"/>
            <color indexed="81"/>
            <rFont val="Tahoma"/>
            <family val="2"/>
          </rPr>
          <t xml:space="preserve"> the "blend" figure to left in Col. G is still used in calculations, but should always equal the Blend/All figures here in Col. K. </t>
        </r>
      </text>
    </comment>
    <comment ref="N19" authorId="2">
      <text>
        <r>
          <rPr>
            <sz val="8"/>
            <color indexed="81"/>
            <rFont val="Tahoma"/>
            <family val="2"/>
          </rPr>
          <t>This shows kWh drawn from grid, after net CHP energy production.</t>
        </r>
      </text>
    </comment>
    <comment ref="V19" authorId="1">
      <text>
        <r>
          <rPr>
            <b/>
            <sz val="8"/>
            <color indexed="81"/>
            <rFont val="Tahoma"/>
          </rPr>
          <t xml:space="preserve">Can't be greater than (consumption - CHP production); </t>
        </r>
        <r>
          <rPr>
            <sz val="8"/>
            <color indexed="81"/>
            <rFont val="Tahoma"/>
            <family val="2"/>
          </rPr>
          <t>(can't offset more chilling demand than kWh would be purchased).</t>
        </r>
        <r>
          <rPr>
            <b/>
            <sz val="8"/>
            <color indexed="81"/>
            <rFont val="Tahoma"/>
          </rPr>
          <t xml:space="preserve"> </t>
        </r>
      </text>
    </comment>
    <comment ref="D20" authorId="1">
      <text>
        <r>
          <rPr>
            <b/>
            <sz val="8"/>
            <color indexed="81"/>
            <rFont val="Tahoma"/>
          </rPr>
          <t xml:space="preserve">Direct copy from Inputs &amp; Outputs page 
</t>
        </r>
      </text>
    </comment>
    <comment ref="E20" authorId="2">
      <text>
        <r>
          <rPr>
            <b/>
            <sz val="8"/>
            <color indexed="81"/>
            <rFont val="Tahoma"/>
          </rPr>
          <t xml:space="preserve">Not Yet Used: requires input addition.
</t>
        </r>
        <r>
          <rPr>
            <sz val="8"/>
            <color indexed="81"/>
            <rFont val="Tahoma"/>
            <family val="2"/>
          </rPr>
          <t>Peak days 8am - 10pm</t>
        </r>
      </text>
    </comment>
    <comment ref="I20" authorId="2">
      <text>
        <r>
          <rPr>
            <sz val="8"/>
            <color indexed="81"/>
            <rFont val="Tahoma"/>
            <family val="2"/>
          </rPr>
          <t xml:space="preserve">cyst: Using conditional formatting these turn </t>
        </r>
        <r>
          <rPr>
            <b/>
            <sz val="8"/>
            <color indexed="81"/>
            <rFont val="Tahoma"/>
          </rPr>
          <t xml:space="preserve">bold </t>
        </r>
        <r>
          <rPr>
            <sz val="8"/>
            <color indexed="81"/>
            <rFont val="Tahoma"/>
            <family val="2"/>
          </rPr>
          <t xml:space="preserve">if no off-peak consumption is input. </t>
        </r>
        <r>
          <rPr>
            <sz val="8"/>
            <color indexed="81"/>
            <rFont val="Tahoma"/>
          </rPr>
          <t xml:space="preserve">
</t>
        </r>
      </text>
    </comment>
    <comment ref="J20" authorId="2">
      <text>
        <r>
          <rPr>
            <b/>
            <sz val="8"/>
            <color indexed="81"/>
            <rFont val="Tahoma"/>
          </rPr>
          <t xml:space="preserve">Not Yet Used: 
</t>
        </r>
        <r>
          <rPr>
            <sz val="8"/>
            <color indexed="81"/>
            <rFont val="Tahoma"/>
            <family val="2"/>
          </rPr>
          <t>Peak days 8am - 10pm</t>
        </r>
      </text>
    </comment>
    <comment ref="N20" authorId="1">
      <text>
        <r>
          <rPr>
            <b/>
            <sz val="8"/>
            <color indexed="81"/>
            <rFont val="Tahoma"/>
          </rPr>
          <t xml:space="preserve">No Net Metering: </t>
        </r>
        <r>
          <rPr>
            <sz val="8"/>
            <color indexed="81"/>
            <rFont val="Tahoma"/>
            <family val="2"/>
          </rPr>
          <t xml:space="preserve">if CHP production exceeds site load, kWh sets to zero. </t>
        </r>
        <r>
          <rPr>
            <b/>
            <sz val="8"/>
            <color indexed="81"/>
            <rFont val="Tahoma"/>
          </rPr>
          <t xml:space="preserve">
</t>
        </r>
      </text>
    </comment>
    <comment ref="O20" authorId="2">
      <text>
        <r>
          <rPr>
            <b/>
            <sz val="8"/>
            <color indexed="81"/>
            <rFont val="Tahoma"/>
          </rPr>
          <t xml:space="preserve">Not Yet Used: 
</t>
        </r>
        <r>
          <rPr>
            <sz val="8"/>
            <color indexed="81"/>
            <rFont val="Tahoma"/>
            <family val="2"/>
          </rPr>
          <t>Peak days 8am - 10pm</t>
        </r>
      </text>
    </comment>
    <comment ref="T20" authorId="1">
      <text>
        <r>
          <rPr>
            <b/>
            <sz val="8"/>
            <color indexed="81"/>
            <rFont val="Tahoma"/>
          </rPr>
          <t>Nameplate * x%</t>
        </r>
      </text>
    </comment>
    <comment ref="V20" authorId="1">
      <text>
        <r>
          <rPr>
            <b/>
            <sz val="8"/>
            <color indexed="81"/>
            <rFont val="Tahoma"/>
          </rPr>
          <t xml:space="preserve">Tool assumes that the chiller runs __% of the month's peak hours. </t>
        </r>
        <r>
          <rPr>
            <sz val="8"/>
            <color indexed="81"/>
            <rFont val="Tahoma"/>
          </rPr>
          <t xml:space="preserve">
</t>
        </r>
      </text>
    </comment>
    <comment ref="W20" authorId="2">
      <text>
        <r>
          <rPr>
            <b/>
            <sz val="8"/>
            <color indexed="81"/>
            <rFont val="Tahoma"/>
          </rPr>
          <t xml:space="preserve">kW * Hours </t>
        </r>
        <r>
          <rPr>
            <sz val="8"/>
            <color indexed="81"/>
            <rFont val="Tahoma"/>
            <family val="2"/>
          </rPr>
          <t>(Max of current usage w/ CHP &amp; chiller potential;  can offset UP TO post- CHP consumption, value is subtracted later)</t>
        </r>
      </text>
    </comment>
    <comment ref="X21" authorId="1">
      <text>
        <r>
          <rPr>
            <sz val="8"/>
            <color indexed="81"/>
            <rFont val="Tahoma"/>
            <family val="2"/>
          </rPr>
          <t>This COULD subtract chiller kWh for all hours (kW x off hours) but currently assumes chiller only runs on peak.</t>
        </r>
      </text>
    </comment>
    <comment ref="F36" authorId="2">
      <text>
        <r>
          <rPr>
            <b/>
            <sz val="8"/>
            <color indexed="81"/>
            <rFont val="Tahoma"/>
          </rPr>
          <t xml:space="preserve">B/c users may not know on </t>
        </r>
        <r>
          <rPr>
            <sz val="8"/>
            <color indexed="81"/>
            <rFont val="Tahoma"/>
            <family val="2"/>
          </rPr>
          <t>v</t>
        </r>
        <r>
          <rPr>
            <b/>
            <sz val="8"/>
            <color indexed="81"/>
            <rFont val="Tahoma"/>
          </rPr>
          <t xml:space="preserve">. off peak prices, this </t>
        </r>
        <r>
          <rPr>
            <sz val="8"/>
            <color indexed="81"/>
            <rFont val="Tahoma"/>
            <family val="2"/>
          </rPr>
          <t xml:space="preserve">if only "peak" prices are input, this </t>
        </r>
        <r>
          <rPr>
            <u/>
            <sz val="8"/>
            <color indexed="81"/>
            <rFont val="Tahoma"/>
            <family val="2"/>
          </rPr>
          <t>assumes</t>
        </r>
        <r>
          <rPr>
            <sz val="8"/>
            <color indexed="81"/>
            <rFont val="Tahoma"/>
            <family val="2"/>
          </rPr>
          <t xml:space="preserve"> the price is average and then increases the peak and reduces the off peak prices by the factors set in Tables and displayed in pink below. 
</t>
        </r>
        <r>
          <rPr>
            <u/>
            <sz val="8"/>
            <color indexed="81"/>
            <rFont val="Tahoma"/>
            <family val="2"/>
          </rPr>
          <t>To disable,</t>
        </r>
        <r>
          <rPr>
            <sz val="8"/>
            <color indexed="81"/>
            <rFont val="Tahoma"/>
            <family val="2"/>
          </rPr>
          <t xml:space="preserve"> change both factors to 100% in Tables sheet. </t>
        </r>
      </text>
    </comment>
    <comment ref="D37" authorId="1">
      <text>
        <r>
          <rPr>
            <sz val="8"/>
            <color indexed="81"/>
            <rFont val="Tahoma"/>
          </rPr>
          <t xml:space="preserve">This block simply mirrors the user commodity price input.  
</t>
        </r>
      </text>
    </comment>
    <comment ref="J37" authorId="2">
      <text>
        <r>
          <rPr>
            <b/>
            <sz val="8"/>
            <color indexed="81"/>
            <rFont val="Tahoma"/>
          </rPr>
          <t xml:space="preserve">Not Yet Used: 
</t>
        </r>
        <r>
          <rPr>
            <sz val="8"/>
            <color indexed="81"/>
            <rFont val="Tahoma"/>
            <family val="2"/>
          </rPr>
          <t>Peak days 8am - 10pm</t>
        </r>
      </text>
    </comment>
    <comment ref="O37" authorId="2">
      <text>
        <r>
          <rPr>
            <b/>
            <sz val="8"/>
            <color indexed="81"/>
            <rFont val="Tahoma"/>
          </rPr>
          <t xml:space="preserve">Not Yet Used: 
</t>
        </r>
        <r>
          <rPr>
            <sz val="8"/>
            <color indexed="81"/>
            <rFont val="Tahoma"/>
            <family val="2"/>
          </rPr>
          <t>Peak days 8am - 10pm</t>
        </r>
      </text>
    </comment>
    <comment ref="X37" authorId="2">
      <text>
        <r>
          <rPr>
            <b/>
            <sz val="8"/>
            <color indexed="81"/>
            <rFont val="Tahoma"/>
          </rPr>
          <t xml:space="preserve">Not Yet Used: 
</t>
        </r>
        <r>
          <rPr>
            <sz val="8"/>
            <color indexed="81"/>
            <rFont val="Tahoma"/>
            <family val="2"/>
          </rPr>
          <t>Peak days 8am - 10pm</t>
        </r>
      </text>
    </comment>
    <comment ref="AA51" authorId="0">
      <text>
        <r>
          <rPr>
            <b/>
            <sz val="8"/>
            <color indexed="81"/>
            <rFont val="Tahoma"/>
          </rPr>
          <t xml:space="preserve">CSY: </t>
        </r>
        <r>
          <rPr>
            <sz val="8"/>
            <color indexed="81"/>
            <rFont val="Tahoma"/>
          </rPr>
          <t xml:space="preserve">Unlike other totals, this is not an amount to pay, but the amount steam chilling saves. </t>
        </r>
      </text>
    </comment>
    <comment ref="B55" authorId="0">
      <text>
        <r>
          <rPr>
            <b/>
            <sz val="8"/>
            <color indexed="81"/>
            <rFont val="Tahoma"/>
          </rPr>
          <t>CSY:</t>
        </r>
        <r>
          <rPr>
            <sz val="8"/>
            <color indexed="81"/>
            <rFont val="Tahoma"/>
          </rPr>
          <t xml:space="preserve">
Actual Consumption / (monthly peak*total hours) </t>
        </r>
      </text>
    </comment>
  </commentList>
</comments>
</file>

<file path=xl/comments4.xml><?xml version="1.0" encoding="utf-8"?>
<comments xmlns="http://schemas.openxmlformats.org/spreadsheetml/2006/main">
  <authors>
    <author>cyoung</author>
    <author>Chris Young</author>
    <author>CSY</author>
  </authors>
  <commentList>
    <comment ref="AB3" authorId="0">
      <text>
        <r>
          <rPr>
            <b/>
            <sz val="8"/>
            <color indexed="81"/>
            <rFont val="Tahoma"/>
          </rPr>
          <t xml:space="preserve">Estimate </t>
        </r>
        <r>
          <rPr>
            <sz val="8"/>
            <color indexed="81"/>
            <rFont val="Tahoma"/>
            <family val="2"/>
          </rPr>
          <t>of avg. history; note MAC adjustment is volumetric. Used to differ between NYC and Westchester.</t>
        </r>
      </text>
    </comment>
    <comment ref="K4" authorId="0">
      <text>
        <r>
          <rPr>
            <b/>
            <sz val="8"/>
            <color indexed="81"/>
            <rFont val="Tahoma"/>
          </rPr>
          <t>M-F, 8am - 6pm</t>
        </r>
      </text>
    </comment>
    <comment ref="B5" authorId="1">
      <text>
        <r>
          <rPr>
            <sz val="8"/>
            <color indexed="81"/>
            <rFont val="Tahoma"/>
          </rPr>
          <t>This Row used by the lookups below -- sends Index to appropriate column in "Rate_Table"</t>
        </r>
      </text>
    </comment>
    <comment ref="AB6" authorId="0">
      <text>
        <r>
          <rPr>
            <b/>
            <sz val="8"/>
            <color indexed="81"/>
            <rFont val="Tahoma"/>
          </rPr>
          <t>Period 1 MAC is only collected in summer months.</t>
        </r>
      </text>
    </comment>
    <comment ref="R20" authorId="0">
      <text>
        <r>
          <rPr>
            <sz val="8"/>
            <color indexed="81"/>
            <rFont val="Tahoma"/>
            <family val="2"/>
          </rPr>
          <t>The rates with kWh blocks (rates I) do not care what times the energy is drawn, so the monthly total is used here.</t>
        </r>
      </text>
    </comment>
    <comment ref="V20" authorId="1">
      <text>
        <r>
          <rPr>
            <b/>
            <sz val="8"/>
            <color indexed="81"/>
            <rFont val="Tahoma"/>
          </rPr>
          <t xml:space="preserve">Period 1: </t>
        </r>
        <r>
          <rPr>
            <sz val="8"/>
            <color indexed="81"/>
            <rFont val="Tahoma"/>
            <family val="2"/>
          </rPr>
          <t xml:space="preserve">Peak Days
8 am - 6 pm
</t>
        </r>
        <r>
          <rPr>
            <sz val="8"/>
            <color indexed="81"/>
            <rFont val="Tahoma"/>
          </rPr>
          <t xml:space="preserve">
</t>
        </r>
      </text>
    </comment>
    <comment ref="W20" authorId="1">
      <text>
        <r>
          <rPr>
            <b/>
            <sz val="8"/>
            <color indexed="81"/>
            <rFont val="Tahoma"/>
          </rPr>
          <t xml:space="preserve">Summer P-2 has same rates as P-1; and only one is collected in kWh charges. 
</t>
        </r>
        <r>
          <rPr>
            <sz val="8"/>
            <color indexed="81"/>
            <rFont val="Tahoma"/>
            <family val="2"/>
          </rPr>
          <t>(Actually P-2 is collected, but calculating P-1 gives identical result.)</t>
        </r>
        <r>
          <rPr>
            <sz val="8"/>
            <color indexed="81"/>
            <rFont val="Tahoma"/>
          </rPr>
          <t xml:space="preserve">
</t>
        </r>
      </text>
    </comment>
    <comment ref="Y20" authorId="1">
      <text>
        <r>
          <rPr>
            <b/>
            <sz val="8"/>
            <color indexed="81"/>
            <rFont val="Tahoma"/>
          </rPr>
          <t xml:space="preserve">Period 1: </t>
        </r>
        <r>
          <rPr>
            <sz val="8"/>
            <color indexed="81"/>
            <rFont val="Tahoma"/>
            <family val="2"/>
          </rPr>
          <t xml:space="preserve">Peak Days
8 am - 6 pm
</t>
        </r>
        <r>
          <rPr>
            <sz val="8"/>
            <color indexed="81"/>
            <rFont val="Tahoma"/>
          </rPr>
          <t xml:space="preserve">
</t>
        </r>
      </text>
    </comment>
    <comment ref="Z20" authorId="1">
      <text>
        <r>
          <rPr>
            <b/>
            <sz val="8"/>
            <color indexed="81"/>
            <rFont val="Tahoma"/>
          </rPr>
          <t>8 am - 10 pm</t>
        </r>
        <r>
          <rPr>
            <sz val="8"/>
            <color indexed="81"/>
            <rFont val="Tahoma"/>
          </rPr>
          <t xml:space="preserve">
</t>
        </r>
      </text>
    </comment>
    <comment ref="AB20" authorId="0">
      <text>
        <r>
          <rPr>
            <sz val="8"/>
            <color indexed="81"/>
            <rFont val="Tahoma"/>
            <family val="2"/>
          </rPr>
          <t xml:space="preserve">P1 demand is not used in Winter calculation, but because it is listed on the tariff with zero values we include it here. </t>
        </r>
        <r>
          <rPr>
            <sz val="8"/>
            <color indexed="81"/>
            <rFont val="Tahoma"/>
          </rPr>
          <t xml:space="preserve">
</t>
        </r>
      </text>
    </comment>
    <comment ref="AF20" authorId="2">
      <text>
        <r>
          <rPr>
            <b/>
            <sz val="8"/>
            <color indexed="81"/>
            <rFont val="Tahoma"/>
            <family val="2"/>
          </rPr>
          <t xml:space="preserve">Off Peak consumption: </t>
        </r>
        <r>
          <rPr>
            <sz val="8"/>
            <color indexed="81"/>
            <rFont val="Tahoma"/>
          </rPr>
          <t xml:space="preserve">
</t>
        </r>
      </text>
    </comment>
    <comment ref="B33" authorId="0">
      <text>
        <r>
          <rPr>
            <sz val="8"/>
            <color indexed="81"/>
            <rFont val="Tahoma"/>
            <family val="2"/>
          </rPr>
          <t xml:space="preserve">Just for convenience so I know what rate should appear here. </t>
        </r>
        <r>
          <rPr>
            <b/>
            <sz val="8"/>
            <color indexed="81"/>
            <rFont val="Tahoma"/>
          </rPr>
          <t>-- cy</t>
        </r>
        <r>
          <rPr>
            <sz val="8"/>
            <color indexed="81"/>
            <rFont val="Tahoma"/>
          </rPr>
          <t xml:space="preserve">
</t>
        </r>
      </text>
    </comment>
    <comment ref="R33" authorId="0">
      <text>
        <r>
          <rPr>
            <b/>
            <sz val="8"/>
            <color indexed="81"/>
            <rFont val="Tahoma"/>
            <family val="2"/>
          </rPr>
          <t>INFO ONLY - which rate is selected on Inputs sheet.</t>
        </r>
      </text>
    </comment>
    <comment ref="B35" authorId="0">
      <text>
        <r>
          <rPr>
            <sz val="8"/>
            <color indexed="81"/>
            <rFont val="Tahoma"/>
            <family val="2"/>
          </rPr>
          <t>This Row is for the lookup function -- refers the lookup to appropriate column in Main Interface rates table.</t>
        </r>
      </text>
    </comment>
    <comment ref="L36" authorId="0">
      <text>
        <r>
          <rPr>
            <b/>
            <sz val="8"/>
            <color indexed="81"/>
            <rFont val="Tahoma"/>
          </rPr>
          <t xml:space="preserve">cyoung: </t>
        </r>
        <r>
          <rPr>
            <sz val="8"/>
            <color indexed="81"/>
            <rFont val="Tahoma"/>
          </rPr>
          <t xml:space="preserve">We don't ask for Period 1 v. Period 2 demand charges; if we did, this is where the difference would appear. </t>
        </r>
      </text>
    </comment>
    <comment ref="M36" authorId="0">
      <text>
        <r>
          <rPr>
            <sz val="8"/>
            <color indexed="81"/>
            <rFont val="Tahoma"/>
          </rPr>
          <t>cyoung: the numbers below will not change (be reduced) by on-peak CHP operation; this rate value is "all hours", while the previous two are peak demand charges.</t>
        </r>
      </text>
    </comment>
    <comment ref="V37" authorId="1">
      <text>
        <r>
          <rPr>
            <b/>
            <sz val="8"/>
            <color indexed="81"/>
            <rFont val="Tahoma"/>
          </rPr>
          <t xml:space="preserve">Period 1: </t>
        </r>
        <r>
          <rPr>
            <sz val="8"/>
            <color indexed="81"/>
            <rFont val="Tahoma"/>
            <family val="2"/>
          </rPr>
          <t xml:space="preserve">Peak Days
8 am - 6 pm
</t>
        </r>
        <r>
          <rPr>
            <sz val="8"/>
            <color indexed="81"/>
            <rFont val="Tahoma"/>
          </rPr>
          <t xml:space="preserve">
</t>
        </r>
      </text>
    </comment>
    <comment ref="W37" authorId="1">
      <text>
        <r>
          <rPr>
            <b/>
            <sz val="8"/>
            <color indexed="81"/>
            <rFont val="Tahoma"/>
          </rPr>
          <t>8 am - 10 pm</t>
        </r>
        <r>
          <rPr>
            <sz val="8"/>
            <color indexed="81"/>
            <rFont val="Tahoma"/>
          </rPr>
          <t xml:space="preserve">
</t>
        </r>
      </text>
    </comment>
    <comment ref="Y37" authorId="1">
      <text>
        <r>
          <rPr>
            <b/>
            <sz val="8"/>
            <color indexed="81"/>
            <rFont val="Tahoma"/>
          </rPr>
          <t xml:space="preserve">Period 1: </t>
        </r>
        <r>
          <rPr>
            <sz val="8"/>
            <color indexed="81"/>
            <rFont val="Tahoma"/>
            <family val="2"/>
          </rPr>
          <t xml:space="preserve">Peak Days
8 am - 6 pm
</t>
        </r>
        <r>
          <rPr>
            <sz val="8"/>
            <color indexed="81"/>
            <rFont val="Tahoma"/>
          </rPr>
          <t xml:space="preserve">
</t>
        </r>
      </text>
    </comment>
    <comment ref="AB37" authorId="0">
      <text>
        <r>
          <rPr>
            <sz val="8"/>
            <color indexed="81"/>
            <rFont val="Tahoma"/>
            <family val="2"/>
          </rPr>
          <t xml:space="preserve">No change from section above; those values used in computations below. </t>
        </r>
        <r>
          <rPr>
            <sz val="8"/>
            <color indexed="81"/>
            <rFont val="Tahoma"/>
          </rPr>
          <t xml:space="preserve">
</t>
        </r>
      </text>
    </comment>
    <comment ref="AI67" authorId="1">
      <text>
        <r>
          <rPr>
            <b/>
            <sz val="8"/>
            <color indexed="81"/>
            <rFont val="Tahoma"/>
          </rPr>
          <t>From CHP &amp; Energy Sheet</t>
        </r>
        <r>
          <rPr>
            <sz val="8"/>
            <color indexed="81"/>
            <rFont val="Tahoma"/>
          </rPr>
          <t xml:space="preserve">
</t>
        </r>
      </text>
    </comment>
    <comment ref="R68" authorId="1">
      <text>
        <r>
          <rPr>
            <b/>
            <sz val="8"/>
            <color indexed="81"/>
            <rFont val="Tahoma"/>
          </rPr>
          <t xml:space="preserve">These columns in kWh blocks (Rates I); </t>
        </r>
        <r>
          <rPr>
            <b/>
            <sz val="8"/>
            <color indexed="81"/>
            <rFont val="Tahoma"/>
            <family val="2"/>
          </rPr>
          <t xml:space="preserve">so use "all hours" quantities. 
</t>
        </r>
        <r>
          <rPr>
            <sz val="8"/>
            <color indexed="81"/>
            <rFont val="Tahoma"/>
            <family val="2"/>
          </rPr>
          <t xml:space="preserve">MAX function sets values to min. draw if production exceeds consumption. </t>
        </r>
      </text>
    </comment>
    <comment ref="W68" authorId="0">
      <text>
        <r>
          <rPr>
            <sz val="10"/>
            <color indexed="81"/>
            <rFont val="Tahoma"/>
          </rPr>
          <t xml:space="preserve">Always zero b/c P2 on CHP&amp;Energy sheet has no value
</t>
        </r>
      </text>
    </comment>
    <comment ref="X68" authorId="1">
      <text>
        <r>
          <rPr>
            <b/>
            <sz val="8"/>
            <color indexed="81"/>
            <rFont val="Tahoma"/>
          </rPr>
          <t xml:space="preserve">CY: NEED "OTHER" HOURS! 
</t>
        </r>
        <r>
          <rPr>
            <sz val="8"/>
            <color indexed="81"/>
            <rFont val="Tahoma"/>
          </rPr>
          <t xml:space="preserve">Subtracts to find </t>
        </r>
        <r>
          <rPr>
            <u/>
            <sz val="8"/>
            <color indexed="81"/>
            <rFont val="Tahoma"/>
            <family val="2"/>
          </rPr>
          <t>all</t>
        </r>
        <r>
          <rPr>
            <sz val="8"/>
            <color indexed="81"/>
            <rFont val="Tahoma"/>
          </rPr>
          <t xml:space="preserve"> net hours consumption, or sets min_run*all hours if net consumption is negative. {Takes the greater of: 
MinDraw*RunHours OR (Origninal total energy purchase)*(Tot. CHP kWh)}</t>
        </r>
      </text>
    </comment>
    <comment ref="Z68" authorId="1">
      <text>
        <r>
          <rPr>
            <sz val="8"/>
            <color indexed="81"/>
            <rFont val="Tahoma"/>
            <family val="2"/>
          </rPr>
          <t>(Same formula as X68)</t>
        </r>
        <r>
          <rPr>
            <sz val="8"/>
            <color indexed="81"/>
            <rFont val="Tahoma"/>
          </rPr>
          <t xml:space="preserve">
</t>
        </r>
      </text>
    </comment>
    <comment ref="AF68" authorId="0">
      <text>
        <r>
          <rPr>
            <b/>
            <sz val="8"/>
            <color indexed="81"/>
            <rFont val="Tahoma"/>
          </rPr>
          <t xml:space="preserve">Net"Off Peak" kWh consumption (after CHP production) </t>
        </r>
      </text>
    </comment>
    <comment ref="AG68" authorId="2">
      <text>
        <r>
          <rPr>
            <sz val="8"/>
            <color indexed="81"/>
            <rFont val="Tahoma"/>
            <family val="2"/>
          </rPr>
          <t>Total kWh from grid net of CHP production</t>
        </r>
        <r>
          <rPr>
            <sz val="8"/>
            <color indexed="81"/>
            <rFont val="Tahoma"/>
          </rPr>
          <t xml:space="preserve">
</t>
        </r>
      </text>
    </comment>
    <comment ref="X69" authorId="0">
      <text>
        <r>
          <rPr>
            <b/>
            <sz val="10"/>
            <color indexed="81"/>
            <rFont val="Tahoma"/>
          </rPr>
          <t xml:space="preserve">Takes the greater of: 
</t>
        </r>
        <r>
          <rPr>
            <sz val="10"/>
            <color indexed="81"/>
            <rFont val="Tahoma"/>
            <family val="2"/>
          </rPr>
          <t xml:space="preserve">MinDraw*RunHours </t>
        </r>
        <r>
          <rPr>
            <u/>
            <sz val="10"/>
            <color indexed="81"/>
            <rFont val="Tahoma"/>
            <family val="2"/>
          </rPr>
          <t>OR</t>
        </r>
        <r>
          <rPr>
            <sz val="10"/>
            <color indexed="81"/>
            <rFont val="Tahoma"/>
            <family val="2"/>
          </rPr>
          <t xml:space="preserve"> (Origninal total energy purchase)*(Tot. CHP kWh)
</t>
        </r>
      </text>
    </comment>
    <comment ref="B82" authorId="1">
      <text>
        <r>
          <rPr>
            <sz val="8"/>
            <color indexed="81"/>
            <rFont val="Tahoma"/>
          </rPr>
          <t>Copies "Blocks" formulas, now less CHP output. 
If CHP capacity is greater than demand, sets value to zero. 
Keeps MinDraw setting intact in Block 1.</t>
        </r>
      </text>
    </comment>
    <comment ref="R82" authorId="0">
      <text>
        <r>
          <rPr>
            <sz val="8"/>
            <color indexed="81"/>
            <rFont val="Tahoma"/>
          </rPr>
          <t xml:space="preserve">No need to change MinDraw if corrected in block above? {I.e., to (Min_Draw*[hours])} 
</t>
        </r>
      </text>
    </comment>
    <comment ref="AI113" authorId="1">
      <text>
        <r>
          <rPr>
            <b/>
            <sz val="8"/>
            <color indexed="81"/>
            <rFont val="Tahoma"/>
          </rPr>
          <t>From CHP &amp; Energy Sheet</t>
        </r>
        <r>
          <rPr>
            <sz val="8"/>
            <color indexed="81"/>
            <rFont val="Tahoma"/>
          </rPr>
          <t xml:space="preserve">
</t>
        </r>
      </text>
    </comment>
    <comment ref="R114" authorId="0">
      <text>
        <r>
          <rPr>
            <sz val="8"/>
            <color indexed="81"/>
            <rFont val="Tahoma"/>
            <family val="2"/>
          </rPr>
          <t>"</t>
        </r>
        <r>
          <rPr>
            <sz val="8"/>
            <color indexed="81"/>
            <rFont val="Tahoma"/>
          </rPr>
          <t xml:space="preserve">MAX((Min_Draw*'CHP &amp; Energy'!$R4)" 
represents the minimum monthly kWh grid consumption. 
</t>
        </r>
      </text>
    </comment>
    <comment ref="Y114" authorId="0">
      <text>
        <r>
          <rPr>
            <b/>
            <sz val="8"/>
            <color indexed="81"/>
            <rFont val="Tahoma"/>
          </rPr>
          <t>Operating Hours Note</t>
        </r>
        <r>
          <rPr>
            <sz val="8"/>
            <color indexed="81"/>
            <rFont val="Tahoma"/>
            <family val="2"/>
          </rPr>
          <t>:</t>
        </r>
        <r>
          <rPr>
            <b/>
            <sz val="8"/>
            <color indexed="81"/>
            <rFont val="Tahoma"/>
          </rPr>
          <t xml:space="preserve"> </t>
        </r>
        <r>
          <rPr>
            <sz val="8"/>
            <color indexed="81"/>
            <rFont val="Tahoma"/>
          </rPr>
          <t xml:space="preserve">This is always zero B/C there are no P2 run hours listed in CHP&amp;Energy sheet. </t>
        </r>
      </text>
    </comment>
    <comment ref="AF114" authorId="0">
      <text>
        <r>
          <rPr>
            <b/>
            <sz val="8"/>
            <color indexed="81"/>
            <rFont val="Tahoma"/>
          </rPr>
          <t xml:space="preserve">Need to determine "Off Peak"!
</t>
        </r>
        <r>
          <rPr>
            <sz val="8"/>
            <color indexed="81"/>
            <rFont val="Tahoma"/>
          </rPr>
          <t xml:space="preserve">
</t>
        </r>
      </text>
    </comment>
    <comment ref="B127" authorId="1">
      <text>
        <r>
          <rPr>
            <sz val="8"/>
            <color indexed="81"/>
            <rFont val="Tahoma"/>
          </rPr>
          <t>Copies "Blocks" formulas, now less CHP output. 
If CHP capacity is greater than demand, sets value to zero. 
Keeps MinDraw setting intact in Block 1.</t>
        </r>
      </text>
    </comment>
  </commentList>
</comments>
</file>

<file path=xl/comments5.xml><?xml version="1.0" encoding="utf-8"?>
<comments xmlns="http://schemas.openxmlformats.org/spreadsheetml/2006/main">
  <authors>
    <author>Chris Young</author>
    <author>cyoung</author>
  </authors>
  <commentList>
    <comment ref="B5" authorId="0">
      <text>
        <r>
          <rPr>
            <b/>
            <sz val="8"/>
            <color indexed="81"/>
            <rFont val="Tahoma"/>
          </rPr>
          <t>Low Tension Only!</t>
        </r>
      </text>
    </comment>
    <comment ref="F5" authorId="1">
      <text>
        <r>
          <rPr>
            <b/>
            <sz val="8"/>
            <color indexed="81"/>
            <rFont val="Tahoma"/>
          </rPr>
          <t>M-F, 8am - 6pm</t>
        </r>
        <r>
          <rPr>
            <sz val="8"/>
            <color indexed="81"/>
            <rFont val="Tahoma"/>
          </rPr>
          <t xml:space="preserve">
</t>
        </r>
      </text>
    </comment>
    <comment ref="G5" authorId="1">
      <text>
        <r>
          <rPr>
            <b/>
            <sz val="8"/>
            <color indexed="81"/>
            <rFont val="Tahoma"/>
          </rPr>
          <t>M-F, 8am - 10pm</t>
        </r>
      </text>
    </comment>
    <comment ref="B6" authorId="0">
      <text>
        <r>
          <rPr>
            <sz val="8"/>
            <color indexed="81"/>
            <rFont val="Tahoma"/>
          </rPr>
          <t>This Row is used by the lookup function -- refers the lookup to appropriate column in MainInterface rates table.</t>
        </r>
      </text>
    </comment>
    <comment ref="K6" authorId="0">
      <text>
        <r>
          <rPr>
            <sz val="8"/>
            <color indexed="81"/>
            <rFont val="Tahoma"/>
          </rPr>
          <t>No longer varies depending on NYC v. Westchester: the MAC rates were synchronized per PSC</t>
        </r>
      </text>
    </comment>
    <comment ref="K7" authorId="1">
      <text>
        <r>
          <rPr>
            <b/>
            <sz val="8"/>
            <color indexed="81"/>
            <rFont val="Tahoma"/>
          </rPr>
          <t xml:space="preserve">Estimate </t>
        </r>
        <r>
          <rPr>
            <sz val="8"/>
            <color indexed="81"/>
            <rFont val="Tahoma"/>
            <family val="2"/>
          </rPr>
          <t>of avg. history; note MAC adjustment is volumetric. Used to differ between NYC and Westchester.</t>
        </r>
      </text>
    </comment>
    <comment ref="M7" authorId="1">
      <text>
        <r>
          <rPr>
            <b/>
            <sz val="10"/>
            <color indexed="81"/>
            <rFont val="Tahoma"/>
          </rPr>
          <t xml:space="preserve">MAC Period-1 As-Used </t>
        </r>
        <r>
          <rPr>
            <sz val="10"/>
            <color indexed="81"/>
            <rFont val="Tahoma"/>
            <family val="2"/>
          </rPr>
          <t xml:space="preserve">charge is not collected in winter months
</t>
        </r>
      </text>
    </comment>
    <comment ref="F22" authorId="1">
      <text>
        <r>
          <rPr>
            <b/>
            <sz val="8"/>
            <color indexed="81"/>
            <rFont val="Tahoma"/>
          </rPr>
          <t>M-F, 8am - 6pm</t>
        </r>
        <r>
          <rPr>
            <sz val="8"/>
            <color indexed="81"/>
            <rFont val="Tahoma"/>
          </rPr>
          <t xml:space="preserve">
</t>
        </r>
      </text>
    </comment>
    <comment ref="G22" authorId="1">
      <text>
        <r>
          <rPr>
            <b/>
            <sz val="8"/>
            <color indexed="81"/>
            <rFont val="Tahoma"/>
          </rPr>
          <t>M-F, 8am - 10pm</t>
        </r>
      </text>
    </comment>
    <comment ref="P22" authorId="1">
      <text>
        <r>
          <rPr>
            <b/>
            <sz val="8"/>
            <color indexed="81"/>
            <rFont val="Tahoma"/>
          </rPr>
          <t>M-F, 8am - 6pm</t>
        </r>
        <r>
          <rPr>
            <sz val="8"/>
            <color indexed="81"/>
            <rFont val="Tahoma"/>
          </rPr>
          <t xml:space="preserve">
</t>
        </r>
      </text>
    </comment>
    <comment ref="Q22" authorId="1">
      <text>
        <r>
          <rPr>
            <b/>
            <sz val="8"/>
            <color indexed="81"/>
            <rFont val="Tahoma"/>
          </rPr>
          <t>M-F, 8am - 10pm</t>
        </r>
      </text>
    </comment>
    <comment ref="W22" authorId="1">
      <text>
        <r>
          <rPr>
            <b/>
            <sz val="8"/>
            <color indexed="81"/>
            <rFont val="Tahoma"/>
          </rPr>
          <t>M-F, 8am - 6pm</t>
        </r>
        <r>
          <rPr>
            <sz val="8"/>
            <color indexed="81"/>
            <rFont val="Tahoma"/>
          </rPr>
          <t xml:space="preserve">
</t>
        </r>
      </text>
    </comment>
    <comment ref="X22" authorId="1">
      <text>
        <r>
          <rPr>
            <b/>
            <sz val="8"/>
            <color indexed="81"/>
            <rFont val="Tahoma"/>
          </rPr>
          <t>M-F, 8am - 10pm</t>
        </r>
      </text>
    </comment>
    <comment ref="AA22" authorId="1">
      <text>
        <r>
          <rPr>
            <b/>
            <sz val="8"/>
            <color indexed="81"/>
            <rFont val="Tahoma"/>
          </rPr>
          <t xml:space="preserve">Uses non-discounted monthly peak; </t>
        </r>
        <r>
          <rPr>
            <sz val="8"/>
            <color indexed="81"/>
            <rFont val="Tahoma"/>
            <family val="2"/>
          </rPr>
          <t>Period 2 uses same as P 1, but likely is
 lower</t>
        </r>
        <r>
          <rPr>
            <b/>
            <sz val="8"/>
            <color indexed="81"/>
            <rFont val="Tahoma"/>
          </rPr>
          <t xml:space="preserve">
</t>
        </r>
      </text>
    </comment>
    <comment ref="A23" authorId="0">
      <text>
        <r>
          <rPr>
            <b/>
            <sz val="8"/>
            <color indexed="81"/>
            <rFont val="Tahoma"/>
          </rPr>
          <t>CY:</t>
        </r>
        <r>
          <rPr>
            <sz val="8"/>
            <color indexed="81"/>
            <rFont val="Tahoma"/>
          </rPr>
          <t xml:space="preserve">
</t>
        </r>
        <r>
          <rPr>
            <b/>
            <sz val="8"/>
            <color indexed="81"/>
            <rFont val="Tahoma"/>
            <family val="2"/>
          </rPr>
          <t>Info Only: selected discount from monthly peak</t>
        </r>
      </text>
    </comment>
    <comment ref="H24" authorId="0">
      <text>
        <r>
          <rPr>
            <b/>
            <sz val="8"/>
            <color indexed="81"/>
            <rFont val="Tahoma"/>
          </rPr>
          <t>CY: (Monthly peak) x ("Peak Reduction Factor") = Assumed As-Used Level</t>
        </r>
        <r>
          <rPr>
            <sz val="8"/>
            <color indexed="81"/>
            <rFont val="Tahoma"/>
          </rPr>
          <t xml:space="preserve">
</t>
        </r>
      </text>
    </comment>
    <comment ref="M24" authorId="1">
      <text>
        <r>
          <rPr>
            <b/>
            <sz val="10"/>
            <color indexed="81"/>
            <rFont val="Tahoma"/>
          </rPr>
          <t xml:space="preserve">MAC Period-1 As-Used </t>
        </r>
        <r>
          <rPr>
            <sz val="10"/>
            <color indexed="81"/>
            <rFont val="Tahoma"/>
            <family val="2"/>
          </rPr>
          <t xml:space="preserve">charge is not collected in winter months
</t>
        </r>
      </text>
    </comment>
    <comment ref="P24" authorId="1">
      <text>
        <r>
          <rPr>
            <sz val="8"/>
            <color indexed="81"/>
            <rFont val="Tahoma"/>
          </rPr>
          <t>"Low Case" assumes that all as-used charges are obviated by perfect operation of the CHP and/or zero underlying demand.</t>
        </r>
      </text>
    </comment>
    <comment ref="Y24" authorId="0">
      <text>
        <r>
          <rPr>
            <b/>
            <sz val="8"/>
            <color indexed="81"/>
            <rFont val="Tahoma"/>
          </rPr>
          <t>CY: NOT discounted from monthly peak for "high case" computation.</t>
        </r>
        <r>
          <rPr>
            <sz val="8"/>
            <color indexed="81"/>
            <rFont val="Tahoma"/>
          </rPr>
          <t xml:space="preserve">
</t>
        </r>
      </text>
    </comment>
    <comment ref="H40" authorId="1">
      <text>
        <r>
          <rPr>
            <sz val="10"/>
            <color indexed="81"/>
            <rFont val="Tahoma"/>
          </rPr>
          <t xml:space="preserve">T4 - T15 = "Net Output" of DG, after parasitics. Net Output is not named so users can change the parasitics by season if desired.  
</t>
        </r>
      </text>
    </comment>
    <comment ref="P40" authorId="1">
      <text>
        <r>
          <rPr>
            <sz val="8"/>
            <color indexed="81"/>
            <rFont val="Tahoma"/>
            <family val="2"/>
          </rPr>
          <t xml:space="preserve">This block is not relevant for low case calculation, because </t>
        </r>
        <r>
          <rPr>
            <b/>
            <sz val="8"/>
            <color indexed="81"/>
            <rFont val="Tahoma"/>
            <family val="2"/>
          </rPr>
          <t>assumes 100% CHP operation.</t>
        </r>
      </text>
    </comment>
    <comment ref="W40" authorId="1">
      <text>
        <r>
          <rPr>
            <b/>
            <sz val="8"/>
            <color indexed="81"/>
            <rFont val="Tahoma"/>
          </rPr>
          <t>This block not relevant for high case; assume CHP offset = 0</t>
        </r>
      </text>
    </comment>
    <comment ref="H56" authorId="0">
      <text>
        <r>
          <rPr>
            <sz val="8"/>
            <color indexed="81"/>
            <rFont val="Tahoma"/>
            <family val="2"/>
          </rPr>
          <t xml:space="preserve">(Monthly peak) x ("Peak Reduction Factor") = Assumed As-Used Level
</t>
        </r>
      </text>
    </comment>
    <comment ref="W71" authorId="0">
      <text>
        <r>
          <rPr>
            <sz val="8"/>
            <color indexed="81"/>
            <rFont val="Tahoma"/>
            <family val="2"/>
          </rPr>
          <t xml:space="preserve">Should </t>
        </r>
        <r>
          <rPr>
            <b/>
            <sz val="8"/>
            <color indexed="81"/>
            <rFont val="Tahoma"/>
          </rPr>
          <t xml:space="preserve">not </t>
        </r>
        <r>
          <rPr>
            <sz val="8"/>
            <color indexed="81"/>
            <rFont val="Tahoma"/>
            <family val="2"/>
          </rPr>
          <t>be affected by demand discount factor!</t>
        </r>
        <r>
          <rPr>
            <sz val="8"/>
            <color indexed="81"/>
            <rFont val="Tahoma"/>
          </rPr>
          <t xml:space="preserve">
</t>
        </r>
      </text>
    </comment>
    <comment ref="P73" authorId="1">
      <text>
        <r>
          <rPr>
            <b/>
            <sz val="8"/>
            <color indexed="81"/>
            <rFont val="Tahoma"/>
          </rPr>
          <t>M-F, 8am - 6pm</t>
        </r>
        <r>
          <rPr>
            <sz val="8"/>
            <color indexed="81"/>
            <rFont val="Tahoma"/>
          </rPr>
          <t xml:space="preserve">
</t>
        </r>
      </text>
    </comment>
    <comment ref="Q73" authorId="1">
      <text>
        <r>
          <rPr>
            <b/>
            <sz val="8"/>
            <color indexed="81"/>
            <rFont val="Tahoma"/>
          </rPr>
          <t>M-F, 8am - 10pm</t>
        </r>
      </text>
    </comment>
    <comment ref="W73" authorId="1">
      <text>
        <r>
          <rPr>
            <b/>
            <sz val="8"/>
            <color indexed="81"/>
            <rFont val="Tahoma"/>
          </rPr>
          <t>M-F, 8am - 6pm</t>
        </r>
        <r>
          <rPr>
            <sz val="8"/>
            <color indexed="81"/>
            <rFont val="Tahoma"/>
          </rPr>
          <t xml:space="preserve">
</t>
        </r>
      </text>
    </comment>
    <comment ref="X73" authorId="1">
      <text>
        <r>
          <rPr>
            <b/>
            <sz val="8"/>
            <color indexed="81"/>
            <rFont val="Tahoma"/>
          </rPr>
          <t>M-F, 8am - 10pm</t>
        </r>
      </text>
    </comment>
    <comment ref="E74" authorId="0">
      <text>
        <r>
          <rPr>
            <b/>
            <sz val="8"/>
            <color indexed="81"/>
            <rFont val="Tahoma"/>
          </rPr>
          <t xml:space="preserve">Data in "Tables" sheet
</t>
        </r>
      </text>
    </comment>
    <comment ref="AB88" authorId="0">
      <text>
        <r>
          <rPr>
            <b/>
            <sz val="8"/>
            <color indexed="81"/>
            <rFont val="Tahoma"/>
          </rPr>
          <t xml:space="preserve">Output to High Case - </t>
        </r>
        <r>
          <rPr>
            <sz val="8"/>
            <color indexed="81"/>
            <rFont val="Tahoma"/>
            <family val="2"/>
          </rPr>
          <t>assumes that CD is 100% of monthly peak, every day.</t>
        </r>
        <r>
          <rPr>
            <sz val="8"/>
            <color indexed="81"/>
            <rFont val="Tahoma"/>
          </rPr>
          <t xml:space="preserve">
</t>
        </r>
      </text>
    </comment>
    <comment ref="E92" authorId="0">
      <text>
        <r>
          <rPr>
            <b/>
            <sz val="8"/>
            <color indexed="81"/>
            <rFont val="Tahoma"/>
          </rPr>
          <t xml:space="preserve">"Days" data in "Tables" sheet
</t>
        </r>
      </text>
    </comment>
    <comment ref="U106" authorId="0">
      <text>
        <r>
          <rPr>
            <b/>
            <sz val="8"/>
            <color indexed="81"/>
            <rFont val="Tahoma"/>
          </rPr>
          <t xml:space="preserve">CY:  Would </t>
        </r>
        <r>
          <rPr>
            <sz val="8"/>
            <color indexed="81"/>
            <rFont val="Tahoma"/>
            <family val="2"/>
          </rPr>
          <t>Output to "boundary" in if we were using CHP offset as the low boundary. B/C using zero as-used, output is below (zero).</t>
        </r>
        <r>
          <rPr>
            <sz val="8"/>
            <color indexed="81"/>
            <rFont val="Tahoma"/>
          </rPr>
          <t xml:space="preserve">
</t>
        </r>
      </text>
    </comment>
    <comment ref="E111" authorId="0">
      <text>
        <r>
          <rPr>
            <b/>
            <sz val="8"/>
            <color indexed="81"/>
            <rFont val="Tahoma"/>
          </rPr>
          <t xml:space="preserve">"Days" data in "Tables" sheet
</t>
        </r>
      </text>
    </comment>
    <comment ref="U125" authorId="0">
      <text>
        <r>
          <rPr>
            <b/>
            <sz val="8"/>
            <color indexed="81"/>
            <rFont val="Tahoma"/>
          </rPr>
          <t xml:space="preserve">CY: Output </t>
        </r>
        <r>
          <rPr>
            <sz val="8"/>
            <color indexed="81"/>
            <rFont val="Tahoma"/>
            <family val="2"/>
          </rPr>
          <t>to "low" boundary; b/c assumes zero as-used charges, this should be zero.</t>
        </r>
        <r>
          <rPr>
            <sz val="8"/>
            <color indexed="81"/>
            <rFont val="Tahoma"/>
          </rPr>
          <t xml:space="preserve">
</t>
        </r>
      </text>
    </comment>
  </commentList>
</comments>
</file>

<file path=xl/sharedStrings.xml><?xml version="1.0" encoding="utf-8"?>
<sst xmlns="http://schemas.openxmlformats.org/spreadsheetml/2006/main" count="997" uniqueCount="416">
  <si>
    <t>Month</t>
  </si>
  <si>
    <t>MAC</t>
  </si>
  <si>
    <t>SBC</t>
  </si>
  <si>
    <t>Jan</t>
  </si>
  <si>
    <t>Feb</t>
  </si>
  <si>
    <t>Mar</t>
  </si>
  <si>
    <t>Apr</t>
  </si>
  <si>
    <t>May</t>
  </si>
  <si>
    <t>Jun</t>
  </si>
  <si>
    <t>Jul</t>
  </si>
  <si>
    <t>Aug</t>
  </si>
  <si>
    <t>Sep</t>
  </si>
  <si>
    <t>Oct</t>
  </si>
  <si>
    <t>Nov</t>
  </si>
  <si>
    <t>Dec</t>
  </si>
  <si>
    <t>Energy:</t>
  </si>
  <si>
    <t>Designated Technology?</t>
  </si>
  <si>
    <t>Monthly kWh</t>
  </si>
  <si>
    <t>SC-4_Rate_I</t>
  </si>
  <si>
    <t>SC-4_Rate_II</t>
  </si>
  <si>
    <t>SC-4_Rate_III</t>
  </si>
  <si>
    <t>SC-8_Rate_I</t>
  </si>
  <si>
    <t>SC-8_Rate_II</t>
  </si>
  <si>
    <t>SC-8_Rate_III</t>
  </si>
  <si>
    <t>SC-9_Rate_I</t>
  </si>
  <si>
    <t>SC-9_Rate_II</t>
  </si>
  <si>
    <t>SC-9_Rate_III</t>
  </si>
  <si>
    <t>Summer</t>
  </si>
  <si>
    <t>Winter</t>
  </si>
  <si>
    <t>SB RATES</t>
  </si>
  <si>
    <t>Cust Chg</t>
  </si>
  <si>
    <t>CD Chg</t>
  </si>
  <si>
    <t>As-Use 1</t>
  </si>
  <si>
    <t>As-Use 2</t>
  </si>
  <si>
    <t>As-Used</t>
  </si>
  <si>
    <t>Off Peak</t>
  </si>
  <si>
    <t>QUANTITIES</t>
  </si>
  <si>
    <t>January</t>
  </si>
  <si>
    <t>February</t>
  </si>
  <si>
    <t>March</t>
  </si>
  <si>
    <t>April</t>
  </si>
  <si>
    <t>June</t>
  </si>
  <si>
    <t>July</t>
  </si>
  <si>
    <t>August</t>
  </si>
  <si>
    <t>September</t>
  </si>
  <si>
    <t>October</t>
  </si>
  <si>
    <t>November</t>
  </si>
  <si>
    <t>December</t>
  </si>
  <si>
    <t>OASC Rates</t>
  </si>
  <si>
    <t>Standby Demand</t>
  </si>
  <si>
    <t>Standby Rates</t>
  </si>
  <si>
    <t>SUM</t>
  </si>
  <si>
    <t>SB Basic</t>
  </si>
  <si>
    <t>On Peak</t>
  </si>
  <si>
    <t>Blend</t>
  </si>
  <si>
    <t>W</t>
  </si>
  <si>
    <t>S</t>
  </si>
  <si>
    <t>Exemptions</t>
  </si>
  <si>
    <t>DG Info</t>
  </si>
  <si>
    <t>Operation Options</t>
  </si>
  <si>
    <t>Peak Hours Only</t>
  </si>
  <si>
    <t>24 Hour Operation</t>
  </si>
  <si>
    <t>Days in</t>
  </si>
  <si>
    <t xml:space="preserve">Peak Days </t>
  </si>
  <si>
    <t>In Month</t>
  </si>
  <si>
    <t>Total</t>
  </si>
  <si>
    <t>Standby MAC</t>
  </si>
  <si>
    <t>Location</t>
  </si>
  <si>
    <t>New York City</t>
  </si>
  <si>
    <t>Westchester County</t>
  </si>
  <si>
    <t>apply rate from column:</t>
  </si>
  <si>
    <t>MAC Cust</t>
  </si>
  <si>
    <t>MAC CD</t>
  </si>
  <si>
    <t>MAC AU1</t>
  </si>
  <si>
    <t>MAC AU2</t>
  </si>
  <si>
    <t>Primary SB Rates</t>
  </si>
  <si>
    <t>City</t>
  </si>
  <si>
    <t>OASC Demand</t>
  </si>
  <si>
    <t>Hours</t>
  </si>
  <si>
    <t>CHP Operation</t>
  </si>
  <si>
    <t>Operation</t>
  </si>
  <si>
    <t>CHP Operating Hours</t>
  </si>
  <si>
    <t>Tariff Drop Down List Data</t>
  </si>
  <si>
    <r>
      <t xml:space="preserve">As Used </t>
    </r>
    <r>
      <rPr>
        <b/>
        <u/>
        <sz val="10"/>
        <rFont val="Arial"/>
        <family val="2"/>
      </rPr>
      <t>x Days/Mo.</t>
    </r>
    <r>
      <rPr>
        <u/>
        <sz val="10"/>
        <rFont val="Arial"/>
        <family val="2"/>
      </rPr>
      <t xml:space="preserve"> </t>
    </r>
  </si>
  <si>
    <t>Block 1</t>
  </si>
  <si>
    <t>Block 2</t>
  </si>
  <si>
    <t>Block 3</t>
  </si>
  <si>
    <t>Block 4</t>
  </si>
  <si>
    <t>Period 1</t>
  </si>
  <si>
    <t>Period 2</t>
  </si>
  <si>
    <t>All</t>
  </si>
  <si>
    <t xml:space="preserve">"Block Size" </t>
  </si>
  <si>
    <t>OASC RATES</t>
  </si>
  <si>
    <t>OASC Energy ($/kWh)</t>
  </si>
  <si>
    <t>&lt;--ConEd tariffs show energy in cents/kWh; convert $$</t>
  </si>
  <si>
    <t>$/kWh</t>
  </si>
  <si>
    <t>energy cost assumptions</t>
  </si>
  <si>
    <t>estimation of as-used demand</t>
  </si>
  <si>
    <t>usage assumptions/variations</t>
  </si>
  <si>
    <t xml:space="preserve">seasonal and other variation </t>
  </si>
  <si>
    <t>OASC MAC</t>
  </si>
  <si>
    <t xml:space="preserve">Phase-In </t>
  </si>
  <si>
    <t>Phase-In Dates (after)</t>
  </si>
  <si>
    <t>kW Block Size</t>
  </si>
  <si>
    <t>kWh Block Size</t>
  </si>
  <si>
    <t xml:space="preserve">"Block Column" </t>
  </si>
  <si>
    <t>Subtract CHP Capacity</t>
  </si>
  <si>
    <t>CALCULATION w/o CHP</t>
  </si>
  <si>
    <t xml:space="preserve"> </t>
  </si>
  <si>
    <t>CALCULATION w/ CHP</t>
  </si>
  <si>
    <t>SB CHP</t>
  </si>
  <si>
    <t>(Rates x Quants)</t>
  </si>
  <si>
    <t>Tax</t>
  </si>
  <si>
    <t>Selected:</t>
  </si>
  <si>
    <t>Up</t>
  </si>
  <si>
    <t>Calculation 1 - Original Demand x Rates</t>
  </si>
  <si>
    <t>Calculation 2 - New Demand x Rates</t>
  </si>
  <si>
    <t>QUANTITIES 2 - Hours / Blocks</t>
  </si>
  <si>
    <t>Designated Cutoff Date</t>
  </si>
  <si>
    <t>Phase-in Cutoff Date</t>
  </si>
  <si>
    <t>Start</t>
  </si>
  <si>
    <t>Stop</t>
  </si>
  <si>
    <t>High Case</t>
  </si>
  <si>
    <t>Low Case</t>
  </si>
  <si>
    <t xml:space="preserve"> + % of SB</t>
  </si>
  <si>
    <t>OASC Demand Rates ($/kW)</t>
  </si>
  <si>
    <t>Energy Time Periods</t>
  </si>
  <si>
    <t>Demand Time Blocks</t>
  </si>
  <si>
    <t xml:space="preserve">Demand Time Blocks: --CHP </t>
  </si>
  <si>
    <t>Demand x Rates</t>
  </si>
  <si>
    <t>Volume x Rates</t>
  </si>
  <si>
    <t>Volume Blocks 1</t>
  </si>
  <si>
    <t>Volume Blocks 2</t>
  </si>
  <si>
    <t>Sources of inaccuracy</t>
  </si>
  <si>
    <t>Energy Prices ($/kWh)</t>
  </si>
  <si>
    <t>OASC Volumetric Delivery ($/kWh)</t>
  </si>
  <si>
    <t>Days per Month</t>
  </si>
  <si>
    <t>CHP kWh per Month</t>
  </si>
  <si>
    <t>Off Hours</t>
  </si>
  <si>
    <t>Off Days</t>
  </si>
  <si>
    <t>Week</t>
  </si>
  <si>
    <t>Wknd/Hol.</t>
  </si>
  <si>
    <t>Sum</t>
  </si>
  <si>
    <t>Tot. Off</t>
  </si>
  <si>
    <t>All Hrs</t>
  </si>
  <si>
    <t>OASC MAC - NYC</t>
  </si>
  <si>
    <t xml:space="preserve">OASC MAC - Westchester </t>
  </si>
  <si>
    <t>NYC</t>
  </si>
  <si>
    <t>%</t>
  </si>
  <si>
    <t xml:space="preserve">MAC estimates and adjustments </t>
  </si>
  <si>
    <t xml:space="preserve">(Below entered "as is" b/c assumption of "on peak") </t>
  </si>
  <si>
    <t>On Peak 2</t>
  </si>
  <si>
    <t>On Peak 1</t>
  </si>
  <si>
    <t>w/ CHP</t>
  </si>
  <si>
    <t>New Volume x Rates</t>
  </si>
  <si>
    <t xml:space="preserve">Monthly Energy $$$ w/o CHP </t>
  </si>
  <si>
    <t xml:space="preserve">Monthly Energy $$$ with CHP </t>
  </si>
  <si>
    <t>MAC SB Rates</t>
  </si>
  <si>
    <t>Compute Load Factor</t>
  </si>
  <si>
    <t>w/o CHP</t>
  </si>
  <si>
    <r>
      <t xml:space="preserve">As-used </t>
    </r>
    <r>
      <rPr>
        <b/>
        <u/>
        <sz val="10"/>
        <rFont val="Arial"/>
        <family val="2"/>
      </rPr>
      <t>high and low cases</t>
    </r>
    <r>
      <rPr>
        <u/>
        <sz val="10"/>
        <rFont val="Arial"/>
        <family val="2"/>
      </rPr>
      <t xml:space="preserve"> refer to the main calculations rate levels, to left</t>
    </r>
  </si>
  <si>
    <t>As-Used Low</t>
  </si>
  <si>
    <t>Demand:</t>
  </si>
  <si>
    <t>MAC Drop Down List Data</t>
  </si>
  <si>
    <t>Standby MAC Rates</t>
  </si>
  <si>
    <t>Westchester</t>
  </si>
  <si>
    <t>OASC MAC Rates</t>
  </si>
  <si>
    <t>As-Used Low Case Quantities</t>
  </si>
  <si>
    <t>As-Used High Case Quantities</t>
  </si>
  <si>
    <t>As-Used High</t>
  </si>
  <si>
    <t>MAC Rates</t>
  </si>
  <si>
    <t>kW - P1</t>
  </si>
  <si>
    <t>kW - P2</t>
  </si>
  <si>
    <t xml:space="preserve">Does not compute minimum charges (I.e., 10 kW in SC-8) </t>
  </si>
  <si>
    <t>kW - All</t>
  </si>
  <si>
    <t>Applicability – Rate II</t>
  </si>
  <si>
    <t>A Customer who would otherwise receive service under Service Classification No. 4, 5, 8, 9, or 12 will be</t>
  </si>
  <si>
    <t>subject to the rates shown for Customers who would be subject to Rate II of the applicable Service</t>
  </si>
  <si>
    <t xml:space="preserve">Classification under the following conditions: </t>
  </si>
  <si>
    <t xml:space="preserve">(a) where the Customer’s Contract Demand is greater than 1500 kW; </t>
  </si>
  <si>
    <t xml:space="preserve">(b) where the Customer’s Contract Demand is greater than 900 kW and the Customer takes service under Rider J of the Full Service Schedule; and </t>
  </si>
  <si>
    <t xml:space="preserve">(c) where the Customer would receive service under Special Provision H of Service Classification No. 4, 8, 9, or 12. </t>
  </si>
  <si>
    <t xml:space="preserve">Where high tension service is supplied at 138,000 volts, the Customer will be subject to the rate shown for high tension service at 138 kV rate regardless of the Contract Demand. </t>
  </si>
  <si>
    <t>All other Customers who would otherwise receive service under Service Classification No. 4, 5, 8, 9, or 12 will be billed at the rate shown for Customers who would not be subject to Rate II.</t>
  </si>
  <si>
    <t xml:space="preserve">Time Periods for MAC </t>
  </si>
  <si>
    <t xml:space="preserve">MAC Quantities x Rates (w/o CHP) </t>
  </si>
  <si>
    <t xml:space="preserve">MAC w/o CHP </t>
  </si>
  <si>
    <t>Mo. Peak</t>
  </si>
  <si>
    <t xml:space="preserve">Low case calculation with CHP </t>
  </si>
  <si>
    <t>Per. 2</t>
  </si>
  <si>
    <t xml:space="preserve">Feb </t>
  </si>
  <si>
    <t xml:space="preserve">Phase-In Computations </t>
  </si>
  <si>
    <t>Before 2008</t>
  </si>
  <si>
    <t xml:space="preserve">unpredictable weather (possibility of weather normalization using Itron?) </t>
  </si>
  <si>
    <t>Does not compute surcharges for exceeding contract demand -- Explain in manual</t>
  </si>
  <si>
    <t>SB Deliv.</t>
  </si>
  <si>
    <t xml:space="preserve">Actual Current Bill </t>
  </si>
  <si>
    <t xml:space="preserve">Rates will change over time -- especially the MAC -- and users should be aware (and check the update history) </t>
  </si>
  <si>
    <t>Year</t>
  </si>
  <si>
    <t>% Standby</t>
  </si>
  <si>
    <t xml:space="preserve">Minimum Draw from Grid (kW) </t>
  </si>
  <si>
    <t>In-Service Date:</t>
  </si>
  <si>
    <t>Planned Operation:</t>
  </si>
  <si>
    <t>% Difference:</t>
  </si>
  <si>
    <t>Sum of Actual Bills:</t>
  </si>
  <si>
    <t>Rate Class/Voltage Level</t>
  </si>
  <si>
    <t>RPS</t>
  </si>
  <si>
    <t>Rates - All Classes</t>
  </si>
  <si>
    <t>Tax - NY</t>
  </si>
  <si>
    <t>Tax - West</t>
  </si>
  <si>
    <t>SBC and Tax</t>
  </si>
  <si>
    <t xml:space="preserve">SBC/RPS Quantities x Rates (w/o CHP) </t>
  </si>
  <si>
    <t>kWh Quantities - SBC/RPS</t>
  </si>
  <si>
    <t xml:space="preserve">SBC&amp;RPS w/ CHP </t>
  </si>
  <si>
    <t>SBC &amp; RPS</t>
  </si>
  <si>
    <t xml:space="preserve">w/o CHP </t>
  </si>
  <si>
    <t>Does Site Use Electric Chilling?</t>
  </si>
  <si>
    <t>Has Electric Chilling</t>
  </si>
  <si>
    <t>Est. Pymnt</t>
  </si>
  <si>
    <t>SC-12_Rate_III</t>
  </si>
  <si>
    <t>SC-12_Rate_II</t>
  </si>
  <si>
    <t>SC-12_Rate_I</t>
  </si>
  <si>
    <t xml:space="preserve">2011 and on </t>
  </si>
  <si>
    <t>Parasitic Load</t>
  </si>
  <si>
    <t>Multi-Family Residential</t>
  </si>
  <si>
    <t>Health Care</t>
  </si>
  <si>
    <t>Planning &lt;15%</t>
  </si>
  <si>
    <t xml:space="preserve"> (varies if +/- 2 MW, after '04, SIR applies, etc.) See "inaccuracies" below.</t>
  </si>
  <si>
    <t xml:space="preserve">Interconnection Assessment is not accounted for in this spreadsheet (Note depends on date of IC; see below)  </t>
  </si>
  <si>
    <t xml:space="preserve">Notes, Errors, Manual Additions, Etc. </t>
  </si>
  <si>
    <t>Without CHP - Base Case</t>
  </si>
  <si>
    <t xml:space="preserve">Estimates With CHP </t>
  </si>
  <si>
    <t>(less parasitics)</t>
  </si>
  <si>
    <t xml:space="preserve">Subtract CHP Capacity (net, from left) </t>
  </si>
  <si>
    <t>Subtract Net CHP and Chiller Offset</t>
  </si>
  <si>
    <t>Subtract Net CHP Capacity</t>
  </si>
  <si>
    <t>(Finds the units by which to multiply the rates -- accounting for CHP operation, parastics, and min-draw requirement)</t>
  </si>
  <si>
    <t>Electric Chiller Offsets: kW Demand and kWh Energy</t>
  </si>
  <si>
    <t>QUANTITIES 4 - Hours / Blocks w/ CHP subtracted</t>
  </si>
  <si>
    <t xml:space="preserve">QUANTITIES 3 - Subtract CHP Capacity (Net Output) for New Demand w/ CHP </t>
  </si>
  <si>
    <t>QUANTITIES 7 - Hours / Blocks w/ CHP subtracted &amp; Chiller Offset</t>
  </si>
  <si>
    <t>Calculation 3 - New Demand incl. Chiller Offset x Rates</t>
  </si>
  <si>
    <t>w/ CHP &amp; Chiller</t>
  </si>
  <si>
    <t>kW Net Output</t>
  </si>
  <si>
    <t>From Utility (Inputs &amp; Outputs (kWh))</t>
  </si>
  <si>
    <t>Monthly kWh Purchases</t>
  </si>
  <si>
    <t>Commodity Costs (kWh)</t>
  </si>
  <si>
    <t>Off Peak Hours</t>
  </si>
  <si>
    <t>Hours of Operation</t>
  </si>
  <si>
    <t>Wknd+Holiday</t>
  </si>
  <si>
    <t>Weekday Hours</t>
  </si>
  <si>
    <r>
      <t xml:space="preserve">Sets value to Min </t>
    </r>
    <r>
      <rPr>
        <i/>
        <u/>
        <sz val="10"/>
        <rFont val="Arial"/>
        <family val="2"/>
      </rPr>
      <t>Production</t>
    </r>
    <r>
      <rPr>
        <i/>
        <sz val="10"/>
        <rFont val="Arial"/>
        <family val="2"/>
      </rPr>
      <t xml:space="preserve"> if production exceeds consumption</t>
    </r>
  </si>
  <si>
    <t xml:space="preserve">Subtract CHP Production and Chiller Offset from kWh </t>
  </si>
  <si>
    <t>CHP Production</t>
  </si>
  <si>
    <t>P2</t>
  </si>
  <si>
    <t xml:space="preserve">Volume Blocks 3 ( - CHP production and chiller offset) </t>
  </si>
  <si>
    <t>Calc 3 - New Volume x Rates</t>
  </si>
  <si>
    <t>(Finds the units by which to multiply the rates -- accounting for CHP operation [and min-draw requirement] and 10% summer nameplate [on CHP&amp;Energy page])</t>
  </si>
  <si>
    <t>CALCULATION w/ CHP and Chiller Offset</t>
  </si>
  <si>
    <t xml:space="preserve">QUANTITIES 6 - Subtract CHP Capacity and Chiller Offset (Net Output - Chiller Savings) for New Demand 2 w/ CHP </t>
  </si>
  <si>
    <t>Volume Blocks 2 - not used in MAC calculation</t>
  </si>
  <si>
    <t>New MAC Volume x MAC Rates</t>
  </si>
  <si>
    <t xml:space="preserve">MAC Quantities - Subtract CHP Capacity &amp; Chiller Offset (from left) </t>
  </si>
  <si>
    <t>Volume Blocks 3 - not used in MAC calculation</t>
  </si>
  <si>
    <t>Calc 3 - New MAC Volume x MAC Rates</t>
  </si>
  <si>
    <t>MAC w/ CHP</t>
  </si>
  <si>
    <t>(Blocks unnecessary for MAC; use Energy Time Periods section at left)</t>
  </si>
  <si>
    <t>kWh-Off</t>
  </si>
  <si>
    <t>kWh-All</t>
  </si>
  <si>
    <t xml:space="preserve">(Cents/kWh) </t>
  </si>
  <si>
    <t>kWh-Pk</t>
  </si>
  <si>
    <t>SBC/RPS Quantities (Subtract CHP Production)</t>
  </si>
  <si>
    <t>SBC/RPS Quantities (Subtract CHP Production AND Chiller)</t>
  </si>
  <si>
    <t>SBC&amp;RPS w/ CHP &amp; Chiller</t>
  </si>
  <si>
    <t>w/ CHP&amp;Chiller</t>
  </si>
  <si>
    <t>SB CHP+Chiller</t>
  </si>
  <si>
    <t>kW Offset</t>
  </si>
  <si>
    <t>Building Types and As-used Adjustment Factors</t>
  </si>
  <si>
    <t xml:space="preserve"> VLOOKUP(Q40,N40:P46,3,FALSE)</t>
  </si>
  <si>
    <t xml:space="preserve">Alternate formula (would require column of 1, 2, 3 etc. values to left of blg type names)  </t>
  </si>
  <si>
    <t>Contract Demand:</t>
  </si>
  <si>
    <t>Eligible for Phase-in?</t>
  </si>
  <si>
    <t>kW</t>
  </si>
  <si>
    <t>Energy Commodity (kWh)</t>
  </si>
  <si>
    <t>(Your 12 month Peak is:</t>
  </si>
  <si>
    <t>Site Location</t>
  </si>
  <si>
    <t xml:space="preserve">With the proposed CHP Project: </t>
  </si>
  <si>
    <t>Contract demand Level</t>
  </si>
  <si>
    <t>Small Size (b)</t>
  </si>
  <si>
    <t xml:space="preserve">% Change in Delivery Charges </t>
  </si>
  <si>
    <t>Small Size (&lt; 15% of load?)</t>
  </si>
  <si>
    <t>Select from List</t>
  </si>
  <si>
    <t>I.   Qualitative Warnings and Notes</t>
  </si>
  <si>
    <t>II.  Rate Estimates</t>
  </si>
  <si>
    <t>3)  CHP Project Information</t>
  </si>
  <si>
    <t>2)  Energy Consumption Information:</t>
  </si>
  <si>
    <t>KW)</t>
  </si>
  <si>
    <t>INPUTS to Standby Rate Estimator (for Con Edison Rates)</t>
  </si>
  <si>
    <t xml:space="preserve"> for Phase-In</t>
  </si>
  <si>
    <t>Prices:</t>
  </si>
  <si>
    <t xml:space="preserve">Estimate from Part 1: </t>
  </si>
  <si>
    <t>Designated Tech. Exemption Date?</t>
  </si>
  <si>
    <t>Oversized</t>
  </si>
  <si>
    <t xml:space="preserve">(You should find these data on your monthly bill.) </t>
  </si>
  <si>
    <t>As-Used High-Low Range</t>
  </si>
  <si>
    <t>Low case not currently affected by chiller offset b/c assumes zero As-Used anyway</t>
  </si>
  <si>
    <t>(Low Case: ___)</t>
  </si>
  <si>
    <t>(High Case: NOT subtracting CHP capacity)</t>
  </si>
  <si>
    <t>(This could be changed if a different type of output were desired.)</t>
  </si>
  <si>
    <t xml:space="preserve"> &lt;-- Outputs to calculation; equals front page/input value</t>
  </si>
  <si>
    <t>&lt;-- Informational formula; legacy</t>
  </si>
  <si>
    <t>Tot. Delivery</t>
  </si>
  <si>
    <t>=MAX(Min_Draw,IF(('Inputs &amp; Outputs'!$F14-'CHP &amp; Energy'!T4)&gt;0,'Inputs &amp; Outputs'!$F14-'CHP &amp; Energy'!T4,0))</t>
  </si>
  <si>
    <t xml:space="preserve">Average Demand Factor: </t>
  </si>
  <si>
    <t>Facility Type</t>
  </si>
  <si>
    <t xml:space="preserve">Designated Technology Exemption?  </t>
  </si>
  <si>
    <t>Facility/Demand Data Input</t>
  </si>
  <si>
    <t>To Check</t>
  </si>
  <si>
    <t>Total Bill</t>
  </si>
  <si>
    <t xml:space="preserve"> Planning to use Designated Technology?</t>
  </si>
  <si>
    <t xml:space="preserve">Planning to generate LESS than 15% of site load? </t>
  </si>
  <si>
    <t>Standard Rate Estimate</t>
  </si>
  <si>
    <t>(Compare with Standard w/o CHP)</t>
  </si>
  <si>
    <t>Std. Deliv.</t>
  </si>
  <si>
    <t>CHP on Standard v. Current Charges</t>
  </si>
  <si>
    <t>Basic Standard Charges</t>
  </si>
  <si>
    <t>Tables!$G$52</t>
  </si>
  <si>
    <t>Nameplate capacity:</t>
  </si>
  <si>
    <t>Chiller Offset Percentage</t>
  </si>
  <si>
    <t>re-check this sector!</t>
  </si>
  <si>
    <t>An. Addl. kWh Saved</t>
  </si>
  <si>
    <t>Run Hours</t>
  </si>
  <si>
    <t xml:space="preserve">kWh Offset                                                                                     </t>
  </si>
  <si>
    <t xml:space="preserve"> % of chiller nameplate avail. for cooling</t>
  </si>
  <si>
    <t>% of summer peak hours</t>
  </si>
  <si>
    <t>Price Relationships</t>
  </si>
  <si>
    <t>On Peak % of Avg.</t>
  </si>
  <si>
    <t>Off Peak % of Avg.</t>
  </si>
  <si>
    <t>Basic Standby Charges</t>
  </si>
  <si>
    <t xml:space="preserve">1)  Facility Information: </t>
  </si>
  <si>
    <t>On-Peak</t>
  </si>
  <si>
    <t>Off-Peak</t>
  </si>
  <si>
    <t xml:space="preserve">On-Peak </t>
  </si>
  <si>
    <t xml:space="preserve">Minus kWh CHP Production </t>
  </si>
  <si>
    <t>Monthly Energy $ SAVED with CHP and Chiller</t>
  </si>
  <si>
    <t>Average</t>
  </si>
  <si>
    <t>kWh Volume Relationships</t>
  </si>
  <si>
    <r>
      <t xml:space="preserve">consumption </t>
    </r>
    <r>
      <rPr>
        <b/>
        <sz val="10"/>
        <rFont val="Arial"/>
        <family val="2"/>
      </rPr>
      <t>ON</t>
    </r>
    <r>
      <rPr>
        <sz val="10"/>
        <rFont val="Arial"/>
        <family val="2"/>
      </rPr>
      <t>-Peak</t>
    </r>
  </si>
  <si>
    <t>Commodity</t>
  </si>
  <si>
    <t>Estimate:</t>
  </si>
  <si>
    <t>OUTPUTS (Estimates for Con Edison Service Area)</t>
  </si>
  <si>
    <t>School</t>
  </si>
  <si>
    <t>Industrial - Low LF</t>
  </si>
  <si>
    <t>Industrial - High LF</t>
  </si>
  <si>
    <t>Does not included taxes</t>
  </si>
  <si>
    <r>
      <t xml:space="preserve">Subtract CHP Production (All Hours from CHP&amp;E Sheet) </t>
    </r>
    <r>
      <rPr>
        <i/>
        <sz val="11"/>
        <rFont val="Arial"/>
        <family val="2"/>
      </rPr>
      <t>[Not yet in blocks]</t>
    </r>
  </si>
  <si>
    <t>NO TAXES IN THIS ESTIMATE</t>
  </si>
  <si>
    <t>QUANTITIES: Demand Drawn</t>
  </si>
  <si>
    <t>QUANTITIES: Energy Drawn</t>
  </si>
  <si>
    <t>Quantities Drawn - MAC</t>
  </si>
  <si>
    <t>Blend/All</t>
  </si>
  <si>
    <t xml:space="preserve">Pink </t>
  </si>
  <si>
    <t>Red</t>
  </si>
  <si>
    <t>Notes or errors to address/correct</t>
  </si>
  <si>
    <t>Blue</t>
  </si>
  <si>
    <t>Informational cells used in the calculation, lookup references, etc.</t>
  </si>
  <si>
    <t>On-Peak kWh consumption</t>
  </si>
  <si>
    <t>Modified Consumption for Calculations</t>
  </si>
  <si>
    <t>Plum</t>
  </si>
  <si>
    <t xml:space="preserve">Settings for advanced users </t>
  </si>
  <si>
    <t>Modified for Use</t>
  </si>
  <si>
    <t>CHP on Standby v. CHP on Standard</t>
  </si>
  <si>
    <t>CHP on Standby v. Current Charges</t>
  </si>
  <si>
    <t>Mac w/ CHP &amp; Chiller</t>
  </si>
  <si>
    <r>
      <t xml:space="preserve">(Finds units by which to multiply rates </t>
    </r>
    <r>
      <rPr>
        <b/>
        <i/>
        <sz val="10"/>
        <rFont val="Arial"/>
        <family val="2"/>
      </rPr>
      <t>AND</t>
    </r>
    <r>
      <rPr>
        <i/>
        <sz val="10"/>
        <rFont val="Arial"/>
        <family val="2"/>
      </rPr>
      <t xml:space="preserve"> estimates average as-used demand by discounting monthly peak)</t>
    </r>
  </si>
  <si>
    <t>Enter kW peaks in left columns</t>
  </si>
  <si>
    <t>kWh used in green columns</t>
  </si>
  <si>
    <t>$/kWh in yellow column(s)</t>
  </si>
  <si>
    <t>Tot.Off kWh</t>
  </si>
  <si>
    <t xml:space="preserve">OASC Demand ($/kW) </t>
  </si>
  <si>
    <t>All Other</t>
  </si>
  <si>
    <t>Low case calculation w/o CHP--not relevant or used; calculation check only</t>
  </si>
  <si>
    <t>High case calculation w/o CHP (as-used kW * days * rate)--not relevant or used; calculation check only</t>
  </si>
  <si>
    <t>Should not be affected by demand discount factor</t>
  </si>
  <si>
    <t xml:space="preserve">Hours: </t>
  </si>
  <si>
    <t>UPDATED</t>
  </si>
  <si>
    <t>IS THIS TOO MUCH KWH???</t>
  </si>
  <si>
    <t>[offset =</t>
  </si>
  <si>
    <t>CHP sheet savings</t>
  </si>
  <si>
    <t>Total OASC savings due to Chiller offset of energy and demand</t>
  </si>
  <si>
    <r>
      <t xml:space="preserve">OASC Delivery </t>
    </r>
    <r>
      <rPr>
        <i/>
        <u/>
        <sz val="10"/>
        <rFont val="Arial"/>
        <family val="2"/>
      </rPr>
      <t>Savings</t>
    </r>
    <r>
      <rPr>
        <i/>
        <sz val="10"/>
        <rFont val="Arial"/>
        <family val="2"/>
      </rPr>
      <t xml:space="preserve"> w/ Chiller Offset</t>
    </r>
  </si>
  <si>
    <r>
      <t>MAC</t>
    </r>
    <r>
      <rPr>
        <i/>
        <sz val="10"/>
        <rFont val="Arial"/>
        <family val="2"/>
      </rPr>
      <t xml:space="preserve"> charges</t>
    </r>
  </si>
  <si>
    <t>Delivery Subtotal</t>
  </si>
  <si>
    <t>Delivery w/ MAC</t>
  </si>
  <si>
    <t>Parasitic</t>
  </si>
  <si>
    <t>Peak kW Demand</t>
  </si>
  <si>
    <t>Commercial</t>
  </si>
  <si>
    <t>Commodity Prices</t>
  </si>
  <si>
    <t xml:space="preserve"> -&gt; Manual states where to find current rates to double-check if it's not recent</t>
  </si>
  <si>
    <t>Reactive Power is not accounted for in this spreadsheet.</t>
  </si>
  <si>
    <t>Returns information from spreadsheet (e.g., from inputs or other worksheets); helps with debugging</t>
  </si>
  <si>
    <t>No fuel price information, so does not show the great economic advantages of greater efficiency</t>
  </si>
  <si>
    <t>Customer Chg.</t>
  </si>
  <si>
    <t>Contract Dem.</t>
  </si>
  <si>
    <t xml:space="preserve">As-Used Dem. </t>
  </si>
  <si>
    <t>Demand Chg.</t>
  </si>
  <si>
    <t>Volumetric Chg.</t>
  </si>
  <si>
    <t>demand period "overlap" P1 to P2</t>
  </si>
  <si>
    <t>Reiterate that the MAC is hard to estimate</t>
  </si>
  <si>
    <t>Green</t>
  </si>
  <si>
    <t xml:space="preserve">Information note or possible error; not critical; info for possible modificaton </t>
  </si>
  <si>
    <r>
      <t xml:space="preserve">High case calculation with CHP -- </t>
    </r>
    <r>
      <rPr>
        <b/>
        <i/>
        <sz val="10"/>
        <color indexed="57"/>
        <rFont val="Arial"/>
        <family val="2"/>
      </rPr>
      <t>using w/o CHP quantities</t>
    </r>
  </si>
  <si>
    <r>
      <t>High case calculation with CHP --</t>
    </r>
    <r>
      <rPr>
        <i/>
        <sz val="10"/>
        <color indexed="57"/>
        <rFont val="Arial"/>
        <family val="2"/>
      </rPr>
      <t xml:space="preserve"> chiller offset not relevant here</t>
    </r>
  </si>
  <si>
    <r>
      <t xml:space="preserve">High Case </t>
    </r>
    <r>
      <rPr>
        <sz val="10"/>
        <color indexed="57"/>
        <rFont val="Arial"/>
        <family val="2"/>
      </rPr>
      <t>currently</t>
    </r>
    <r>
      <rPr>
        <sz val="10"/>
        <rFont val="Arial"/>
        <family val="2"/>
      </rPr>
      <t xml:space="preserve"> Ignores This Block b/c definition of "high"</t>
    </r>
    <r>
      <rPr>
        <b/>
        <sz val="10"/>
        <color indexed="10"/>
        <rFont val="Arial"/>
        <family val="2"/>
      </rPr>
      <t xml:space="preserve">  </t>
    </r>
  </si>
  <si>
    <t>Peak or Total</t>
  </si>
  <si>
    <t xml:space="preserve">d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</si>
</sst>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3" formatCode="_(* #,##0.00_);_(* \(#,##0.00\);_(* &quot;-&quot;??_);_(@_)"/>
    <numFmt numFmtId="165" formatCode="0.000"/>
    <numFmt numFmtId="167" formatCode="_(* #,##0_);_(* \(#,##0\);_(* &quot;-&quot;??_);_(@_)"/>
    <numFmt numFmtId="168" formatCode="mm/dd/yy"/>
    <numFmt numFmtId="170" formatCode="0.0%"/>
    <numFmt numFmtId="183" formatCode="&quot;$&quot;#,##0"/>
  </numFmts>
  <fonts count="69" x14ac:knownFonts="1">
    <font>
      <sz val="10"/>
      <name val="Arial"/>
    </font>
    <font>
      <sz val="10"/>
      <name val="Arial"/>
    </font>
    <font>
      <b/>
      <sz val="10"/>
      <name val="Arial"/>
      <family val="2"/>
    </font>
    <font>
      <b/>
      <u/>
      <sz val="12"/>
      <name val="Arial"/>
      <family val="2"/>
    </font>
    <font>
      <b/>
      <sz val="8"/>
      <color indexed="81"/>
      <name val="Tahoma"/>
    </font>
    <font>
      <sz val="10"/>
      <name val="Arial"/>
      <family val="2"/>
    </font>
    <font>
      <sz val="8"/>
      <name val="Tahoma"/>
      <family val="2"/>
    </font>
    <font>
      <b/>
      <sz val="10"/>
      <color indexed="10"/>
      <name val="Arial"/>
      <family val="2"/>
    </font>
    <font>
      <sz val="8"/>
      <color indexed="81"/>
      <name val="Tahoma"/>
    </font>
    <font>
      <b/>
      <i/>
      <sz val="10"/>
      <name val="Arial"/>
      <family val="2"/>
    </font>
    <font>
      <i/>
      <sz val="10"/>
      <color indexed="10"/>
      <name val="Arial"/>
      <family val="2"/>
    </font>
    <font>
      <b/>
      <i/>
      <sz val="11"/>
      <name val="Arial"/>
      <family val="2"/>
    </font>
    <font>
      <i/>
      <sz val="10"/>
      <name val="Arial"/>
      <family val="2"/>
    </font>
    <font>
      <u/>
      <sz val="10"/>
      <name val="Arial"/>
      <family val="2"/>
    </font>
    <font>
      <i/>
      <sz val="10"/>
      <color indexed="12"/>
      <name val="Arial"/>
      <family val="2"/>
    </font>
    <font>
      <sz val="10"/>
      <color indexed="12"/>
      <name val="Arial"/>
      <family val="2"/>
    </font>
    <font>
      <sz val="10"/>
      <color indexed="11"/>
      <name val="Arial"/>
      <family val="2"/>
    </font>
    <font>
      <b/>
      <u/>
      <sz val="10"/>
      <name val="Arial"/>
      <family val="2"/>
    </font>
    <font>
      <sz val="8"/>
      <color indexed="81"/>
      <name val="Tahoma"/>
      <family val="2"/>
    </font>
    <font>
      <b/>
      <sz val="10"/>
      <color indexed="12"/>
      <name val="Arial"/>
      <family val="2"/>
    </font>
    <font>
      <u/>
      <sz val="8"/>
      <name val="Arial"/>
      <family val="2"/>
    </font>
    <font>
      <sz val="10"/>
      <color indexed="10"/>
      <name val="Arial"/>
      <family val="2"/>
    </font>
    <font>
      <sz val="10"/>
      <color indexed="17"/>
      <name val="Arial"/>
      <family val="2"/>
    </font>
    <font>
      <sz val="10"/>
      <color indexed="60"/>
      <name val="Arial"/>
      <family val="2"/>
    </font>
    <font>
      <u/>
      <sz val="10"/>
      <name val="Arial"/>
    </font>
    <font>
      <i/>
      <sz val="10"/>
      <color indexed="48"/>
      <name val="Arial"/>
      <family val="2"/>
    </font>
    <font>
      <b/>
      <sz val="10"/>
      <color indexed="17"/>
      <name val="Arial"/>
      <family val="2"/>
    </font>
    <font>
      <b/>
      <i/>
      <sz val="10"/>
      <color indexed="17"/>
      <name val="Arial"/>
      <family val="2"/>
    </font>
    <font>
      <b/>
      <sz val="8"/>
      <color indexed="81"/>
      <name val="Tahoma"/>
      <family val="2"/>
    </font>
    <font>
      <b/>
      <sz val="9"/>
      <name val="Arial"/>
      <family val="2"/>
    </font>
    <font>
      <sz val="9"/>
      <name val="Arial"/>
      <family val="2"/>
    </font>
    <font>
      <b/>
      <sz val="8"/>
      <name val="Arial"/>
      <family val="2"/>
    </font>
    <font>
      <sz val="9"/>
      <name val="Arial"/>
    </font>
    <font>
      <b/>
      <sz val="10"/>
      <color indexed="14"/>
      <name val="Arial"/>
      <family val="2"/>
    </font>
    <font>
      <sz val="8"/>
      <name val="Arial"/>
      <family val="2"/>
    </font>
    <font>
      <b/>
      <sz val="10"/>
      <color indexed="53"/>
      <name val="Arial"/>
      <family val="2"/>
    </font>
    <font>
      <b/>
      <sz val="10"/>
      <color indexed="52"/>
      <name val="Arial"/>
      <family val="2"/>
    </font>
    <font>
      <i/>
      <u/>
      <sz val="10"/>
      <name val="Arial"/>
      <family val="2"/>
    </font>
    <font>
      <sz val="10"/>
      <color indexed="16"/>
      <name val="Arial"/>
      <family val="2"/>
    </font>
    <font>
      <b/>
      <sz val="9"/>
      <color indexed="81"/>
      <name val="Tahoma"/>
      <family val="2"/>
    </font>
    <font>
      <sz val="10"/>
      <color indexed="10"/>
      <name val="Arial"/>
    </font>
    <font>
      <b/>
      <sz val="10"/>
      <color indexed="18"/>
      <name val="Arial"/>
      <family val="2"/>
    </font>
    <font>
      <u/>
      <sz val="8"/>
      <color indexed="81"/>
      <name val="Tahoma"/>
      <family val="2"/>
    </font>
    <font>
      <sz val="9"/>
      <color indexed="81"/>
      <name val="Tahoma"/>
      <family val="2"/>
    </font>
    <font>
      <b/>
      <i/>
      <sz val="10"/>
      <color indexed="10"/>
      <name val="Arial"/>
      <family val="2"/>
    </font>
    <font>
      <b/>
      <i/>
      <u/>
      <sz val="10"/>
      <name val="Arial"/>
      <family val="2"/>
    </font>
    <font>
      <sz val="10"/>
      <name val="Arial"/>
    </font>
    <font>
      <sz val="8"/>
      <color indexed="10"/>
      <name val="Tahoma"/>
      <family val="2"/>
    </font>
    <font>
      <sz val="10"/>
      <color indexed="9"/>
      <name val="Arial"/>
      <family val="2"/>
    </font>
    <font>
      <u/>
      <sz val="9"/>
      <color indexed="81"/>
      <name val="Tahoma"/>
      <family val="2"/>
    </font>
    <font>
      <b/>
      <sz val="10"/>
      <color indexed="81"/>
      <name val="Tahoma"/>
      <family val="2"/>
    </font>
    <font>
      <sz val="10"/>
      <color indexed="81"/>
      <name val="Tahoma"/>
      <family val="2"/>
    </font>
    <font>
      <i/>
      <sz val="10"/>
      <color indexed="81"/>
      <name val="Tahoma"/>
      <family val="2"/>
    </font>
    <font>
      <sz val="10"/>
      <color indexed="14"/>
      <name val="Arial"/>
      <family val="2"/>
    </font>
    <font>
      <i/>
      <sz val="8"/>
      <color indexed="81"/>
      <name val="Tahoma"/>
      <family val="2"/>
    </font>
    <font>
      <b/>
      <i/>
      <sz val="10"/>
      <color indexed="18"/>
      <name val="Arial"/>
      <family val="2"/>
    </font>
    <font>
      <i/>
      <sz val="11"/>
      <name val="Arial"/>
      <family val="2"/>
    </font>
    <font>
      <u/>
      <sz val="8"/>
      <color indexed="53"/>
      <name val="Arial"/>
      <family val="2"/>
    </font>
    <font>
      <b/>
      <sz val="10"/>
      <color indexed="61"/>
      <name val="Arial"/>
      <family val="2"/>
    </font>
    <font>
      <i/>
      <sz val="10"/>
      <color indexed="14"/>
      <name val="Arial"/>
      <family val="2"/>
    </font>
    <font>
      <sz val="10"/>
      <color indexed="81"/>
      <name val="Tahoma"/>
    </font>
    <font>
      <b/>
      <sz val="10"/>
      <color indexed="81"/>
      <name val="Tahoma"/>
    </font>
    <font>
      <u/>
      <sz val="10"/>
      <color indexed="81"/>
      <name val="Tahoma"/>
      <family val="2"/>
    </font>
    <font>
      <i/>
      <sz val="9"/>
      <name val="Arial"/>
      <family val="2"/>
    </font>
    <font>
      <b/>
      <i/>
      <sz val="9"/>
      <name val="Arial"/>
      <family val="2"/>
    </font>
    <font>
      <b/>
      <sz val="10"/>
      <color indexed="57"/>
      <name val="Arial"/>
      <family val="2"/>
    </font>
    <font>
      <sz val="10"/>
      <color indexed="57"/>
      <name val="Arial"/>
      <family val="2"/>
    </font>
    <font>
      <b/>
      <i/>
      <sz val="10"/>
      <color indexed="57"/>
      <name val="Arial"/>
      <family val="2"/>
    </font>
    <font>
      <i/>
      <sz val="10"/>
      <color indexed="57"/>
      <name val="Arial"/>
      <family val="2"/>
    </font>
  </fonts>
  <fills count="17">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51"/>
        <bgColor indexed="64"/>
      </patternFill>
    </fill>
    <fill>
      <patternFill patternType="solid">
        <fgColor indexed="42"/>
        <bgColor indexed="64"/>
      </patternFill>
    </fill>
    <fill>
      <patternFill patternType="solid">
        <fgColor indexed="62"/>
        <bgColor indexed="64"/>
      </patternFill>
    </fill>
    <fill>
      <patternFill patternType="solid">
        <fgColor indexed="11"/>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54"/>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40"/>
        <bgColor indexed="64"/>
      </patternFill>
    </fill>
  </fills>
  <borders count="75">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medium">
        <color auto="1"/>
      </right>
      <top/>
      <bottom/>
      <diagonal/>
    </border>
    <border>
      <left style="medium">
        <color auto="1"/>
      </left>
      <right/>
      <top/>
      <bottom style="medium">
        <color auto="1"/>
      </bottom>
      <diagonal/>
    </border>
    <border>
      <left/>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55"/>
      </top>
      <bottom/>
      <diagonal/>
    </border>
    <border>
      <left/>
      <right/>
      <top/>
      <bottom style="thin">
        <color indexed="55"/>
      </bottom>
      <diagonal/>
    </border>
    <border>
      <left style="thin">
        <color auto="1"/>
      </left>
      <right/>
      <top/>
      <bottom style="thin">
        <color indexed="55"/>
      </bottom>
      <diagonal/>
    </border>
    <border>
      <left style="thin">
        <color auto="1"/>
      </left>
      <right/>
      <top style="thin">
        <color indexed="55"/>
      </top>
      <bottom/>
      <diagonal/>
    </border>
    <border>
      <left/>
      <right style="thin">
        <color auto="1"/>
      </right>
      <top/>
      <bottom style="thin">
        <color indexed="55"/>
      </bottom>
      <diagonal/>
    </border>
    <border>
      <left/>
      <right style="thin">
        <color auto="1"/>
      </right>
      <top style="thin">
        <color indexed="55"/>
      </top>
      <bottom/>
      <diagonal/>
    </border>
    <border>
      <left style="medium">
        <color indexed="12"/>
      </left>
      <right/>
      <top/>
      <bottom/>
      <diagonal/>
    </border>
    <border>
      <left/>
      <right style="medium">
        <color indexed="12"/>
      </right>
      <top/>
      <bottom/>
      <diagonal/>
    </border>
    <border>
      <left style="medium">
        <color indexed="12"/>
      </left>
      <right/>
      <top style="thin">
        <color auto="1"/>
      </top>
      <bottom/>
      <diagonal/>
    </border>
    <border>
      <left style="medium">
        <color indexed="12"/>
      </left>
      <right/>
      <top/>
      <bottom style="thin">
        <color auto="1"/>
      </bottom>
      <diagonal/>
    </border>
    <border>
      <left style="medium">
        <color indexed="12"/>
      </left>
      <right/>
      <top/>
      <bottom style="medium">
        <color indexed="12"/>
      </bottom>
      <diagonal/>
    </border>
    <border>
      <left/>
      <right/>
      <top/>
      <bottom style="medium">
        <color indexed="12"/>
      </bottom>
      <diagonal/>
    </border>
    <border>
      <left/>
      <right style="thin">
        <color auto="1"/>
      </right>
      <top/>
      <bottom style="medium">
        <color indexed="12"/>
      </bottom>
      <diagonal/>
    </border>
    <border>
      <left style="thin">
        <color auto="1"/>
      </left>
      <right/>
      <top/>
      <bottom style="medium">
        <color indexed="12"/>
      </bottom>
      <diagonal/>
    </border>
    <border>
      <left/>
      <right style="medium">
        <color indexed="12"/>
      </right>
      <top/>
      <bottom style="medium">
        <color indexed="12"/>
      </bottom>
      <diagonal/>
    </border>
    <border>
      <left/>
      <right style="medium">
        <color indexed="12"/>
      </right>
      <top style="hair">
        <color auto="1"/>
      </top>
      <bottom style="medium">
        <color auto="1"/>
      </bottom>
      <diagonal/>
    </border>
    <border>
      <left/>
      <right style="medium">
        <color indexed="12"/>
      </right>
      <top style="hair">
        <color auto="1"/>
      </top>
      <bottom style="hair">
        <color auto="1"/>
      </bottom>
      <diagonal/>
    </border>
    <border>
      <left style="hair">
        <color auto="1"/>
      </left>
      <right style="dashed">
        <color auto="1"/>
      </right>
      <top style="hair">
        <color auto="1"/>
      </top>
      <bottom style="hair">
        <color auto="1"/>
      </bottom>
      <diagonal/>
    </border>
    <border>
      <left style="hair">
        <color auto="1"/>
      </left>
      <right style="dashed">
        <color auto="1"/>
      </right>
      <top style="hair">
        <color auto="1"/>
      </top>
      <bottom style="medium">
        <color auto="1"/>
      </bottom>
      <diagonal/>
    </border>
    <border>
      <left style="thin">
        <color indexed="55"/>
      </left>
      <right style="thin">
        <color indexed="55"/>
      </right>
      <top style="thin">
        <color indexed="55"/>
      </top>
      <bottom style="thin">
        <color indexed="55"/>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medium">
        <color indexed="12"/>
      </left>
      <right style="medium">
        <color auto="1"/>
      </right>
      <top style="medium">
        <color auto="1"/>
      </top>
      <bottom style="medium">
        <color auto="1"/>
      </bottom>
      <diagonal/>
    </border>
    <border>
      <left style="thin">
        <color auto="1"/>
      </left>
      <right style="thin">
        <color auto="1"/>
      </right>
      <top style="thin">
        <color auto="1"/>
      </top>
      <bottom/>
      <diagonal/>
    </border>
    <border>
      <left/>
      <right style="medium">
        <color indexed="12"/>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dashed">
        <color auto="1"/>
      </left>
      <right style="hair">
        <color auto="1"/>
      </right>
      <top style="hair">
        <color auto="1"/>
      </top>
      <bottom style="hair">
        <color auto="1"/>
      </bottom>
      <diagonal/>
    </border>
    <border>
      <left style="dashed">
        <color auto="1"/>
      </left>
      <right style="hair">
        <color auto="1"/>
      </right>
      <top style="hair">
        <color auto="1"/>
      </top>
      <bottom style="medium">
        <color auto="1"/>
      </bottom>
      <diagonal/>
    </border>
    <border>
      <left style="medium">
        <color indexed="12"/>
      </left>
      <right/>
      <top style="medium">
        <color auto="1"/>
      </top>
      <bottom/>
      <diagonal/>
    </border>
    <border>
      <left/>
      <right style="medium">
        <color auto="1"/>
      </right>
      <top/>
      <bottom style="medium">
        <color auto="1"/>
      </bottom>
      <diagonal/>
    </border>
    <border>
      <left style="medium">
        <color indexed="12"/>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12"/>
      </left>
      <right/>
      <top style="thin">
        <color auto="1"/>
      </top>
      <bottom style="thin">
        <color auto="1"/>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thin">
        <color indexed="10"/>
      </left>
      <right/>
      <top style="thin">
        <color indexed="10"/>
      </top>
      <bottom/>
      <diagonal/>
    </border>
    <border>
      <left/>
      <right style="thin">
        <color indexed="10"/>
      </right>
      <top style="thin">
        <color indexed="10"/>
      </top>
      <bottom/>
      <diagonal/>
    </border>
    <border>
      <left/>
      <right/>
      <top style="thin">
        <color indexed="10"/>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06">
    <xf numFmtId="0" fontId="0" fillId="0" borderId="0" xfId="0"/>
    <xf numFmtId="0" fontId="2" fillId="0" borderId="0" xfId="0" applyFont="1"/>
    <xf numFmtId="0" fontId="2" fillId="0" borderId="0" xfId="0" applyFont="1" applyAlignment="1">
      <alignment vertical="top"/>
    </xf>
    <xf numFmtId="0" fontId="3" fillId="0" borderId="0" xfId="0" applyFont="1"/>
    <xf numFmtId="9" fontId="0" fillId="0" borderId="0" xfId="2" applyFont="1"/>
    <xf numFmtId="0" fontId="0" fillId="0" borderId="0" xfId="0" applyBorder="1"/>
    <xf numFmtId="0" fontId="5" fillId="0" borderId="0" xfId="0" applyFont="1" applyAlignment="1">
      <alignment vertical="top" wrapText="1"/>
    </xf>
    <xf numFmtId="0" fontId="0" fillId="0" borderId="1" xfId="0" applyBorder="1"/>
    <xf numFmtId="0" fontId="9" fillId="0" borderId="0" xfId="0" applyFont="1"/>
    <xf numFmtId="0" fontId="0" fillId="0" borderId="2" xfId="0" applyBorder="1"/>
    <xf numFmtId="0" fontId="0" fillId="0" borderId="3" xfId="0" applyBorder="1"/>
    <xf numFmtId="0" fontId="2" fillId="0" borderId="0" xfId="0" applyFont="1" applyAlignment="1">
      <alignment horizontal="left" vertical="top"/>
    </xf>
    <xf numFmtId="0" fontId="2" fillId="0" borderId="0" xfId="0" applyFont="1" applyAlignment="1">
      <alignment horizontal="left"/>
    </xf>
    <xf numFmtId="0" fontId="11" fillId="0" borderId="0" xfId="0" applyFont="1"/>
    <xf numFmtId="0" fontId="12" fillId="0" borderId="0" xfId="0" applyFont="1"/>
    <xf numFmtId="2" fontId="0" fillId="0" borderId="0" xfId="0" applyNumberFormat="1"/>
    <xf numFmtId="2" fontId="2" fillId="0" borderId="0" xfId="0" applyNumberFormat="1" applyFont="1"/>
    <xf numFmtId="0" fontId="13" fillId="0" borderId="0" xfId="0" applyFont="1"/>
    <xf numFmtId="1" fontId="0" fillId="0" borderId="0" xfId="0" applyNumberFormat="1"/>
    <xf numFmtId="0" fontId="5" fillId="0" borderId="0" xfId="0" applyFont="1"/>
    <xf numFmtId="0" fontId="0" fillId="0" borderId="1" xfId="0" applyBorder="1" applyAlignment="1">
      <alignment horizontal="center"/>
    </xf>
    <xf numFmtId="0" fontId="0" fillId="0" borderId="0" xfId="0" applyAlignment="1">
      <alignment horizontal="center"/>
    </xf>
    <xf numFmtId="167" fontId="0" fillId="0" borderId="0" xfId="1" applyNumberFormat="1" applyFont="1"/>
    <xf numFmtId="0" fontId="0" fillId="2" borderId="0" xfId="0" applyFill="1"/>
    <xf numFmtId="0" fontId="14" fillId="0" borderId="0" xfId="0" applyFont="1"/>
    <xf numFmtId="0" fontId="15" fillId="0" borderId="0" xfId="0" applyFont="1" applyAlignment="1">
      <alignment horizontal="center"/>
    </xf>
    <xf numFmtId="1" fontId="0" fillId="0" borderId="0" xfId="0" applyNumberFormat="1" applyAlignment="1">
      <alignment horizontal="right"/>
    </xf>
    <xf numFmtId="167" fontId="2" fillId="0" borderId="0" xfId="1" applyNumberFormat="1" applyFont="1"/>
    <xf numFmtId="0" fontId="5" fillId="0" borderId="0" xfId="0" applyFont="1" applyAlignment="1">
      <alignment horizontal="center" vertical="top"/>
    </xf>
    <xf numFmtId="0" fontId="5" fillId="0" borderId="0" xfId="0" applyFont="1" applyAlignment="1">
      <alignment horizontal="left"/>
    </xf>
    <xf numFmtId="0" fontId="13" fillId="0" borderId="0" xfId="0" applyFont="1" applyAlignment="1">
      <alignment horizontal="center"/>
    </xf>
    <xf numFmtId="0" fontId="5" fillId="0" borderId="0" xfId="0" applyFont="1" applyAlignment="1">
      <alignment horizontal="left" vertical="top"/>
    </xf>
    <xf numFmtId="0" fontId="16" fillId="0" borderId="0" xfId="0" applyFont="1" applyFill="1"/>
    <xf numFmtId="0" fontId="3" fillId="0" borderId="0" xfId="0" applyFont="1" applyFill="1"/>
    <xf numFmtId="0" fontId="5" fillId="0" borderId="0" xfId="0" applyFont="1" applyFill="1"/>
    <xf numFmtId="0" fontId="11" fillId="0" borderId="0" xfId="0" applyFont="1" applyFill="1"/>
    <xf numFmtId="0" fontId="2" fillId="0" borderId="0" xfId="0" applyFont="1" applyFill="1" applyAlignment="1">
      <alignment horizontal="left" vertical="top"/>
    </xf>
    <xf numFmtId="0" fontId="2" fillId="0" borderId="0" xfId="0" applyFont="1" applyFill="1" applyAlignment="1">
      <alignment horizontal="left"/>
    </xf>
    <xf numFmtId="0" fontId="5" fillId="0" borderId="0" xfId="0" applyFont="1" applyFill="1" applyAlignment="1">
      <alignment vertical="top" wrapText="1"/>
    </xf>
    <xf numFmtId="0" fontId="2" fillId="0" borderId="0" xfId="0" applyFont="1" applyFill="1"/>
    <xf numFmtId="0" fontId="5" fillId="0" borderId="0" xfId="0" applyFont="1" applyFill="1" applyAlignment="1">
      <alignment horizontal="center"/>
    </xf>
    <xf numFmtId="1" fontId="5" fillId="0" borderId="0" xfId="0" applyNumberFormat="1" applyFont="1" applyFill="1"/>
    <xf numFmtId="1" fontId="5" fillId="0" borderId="0" xfId="0" applyNumberFormat="1" applyFont="1" applyFill="1" applyAlignment="1">
      <alignment horizontal="right"/>
    </xf>
    <xf numFmtId="2" fontId="5" fillId="0" borderId="0" xfId="0" applyNumberFormat="1" applyFont="1" applyFill="1"/>
    <xf numFmtId="0" fontId="0" fillId="0" borderId="0" xfId="0" applyNumberFormat="1" applyFill="1"/>
    <xf numFmtId="0" fontId="0" fillId="0" borderId="0" xfId="0" applyFill="1"/>
    <xf numFmtId="8" fontId="0" fillId="0" borderId="0" xfId="0" applyNumberFormat="1" applyFill="1"/>
    <xf numFmtId="0" fontId="12" fillId="3" borderId="0" xfId="0" applyFont="1" applyFill="1"/>
    <xf numFmtId="0" fontId="0" fillId="3" borderId="0" xfId="0" applyFill="1"/>
    <xf numFmtId="0" fontId="12" fillId="4" borderId="0" xfId="0" applyFont="1" applyFill="1"/>
    <xf numFmtId="0" fontId="0" fillId="4" borderId="0" xfId="0" applyFill="1"/>
    <xf numFmtId="0" fontId="12" fillId="5" borderId="0" xfId="0" applyFont="1" applyFill="1"/>
    <xf numFmtId="0" fontId="0" fillId="5" borderId="0" xfId="0" applyFill="1"/>
    <xf numFmtId="0" fontId="0" fillId="0" borderId="0" xfId="0" applyFill="1" applyAlignment="1">
      <alignment horizontal="center"/>
    </xf>
    <xf numFmtId="0" fontId="0" fillId="6" borderId="0" xfId="0" applyFill="1"/>
    <xf numFmtId="0" fontId="2" fillId="4" borderId="0" xfId="0" applyFont="1" applyFill="1"/>
    <xf numFmtId="0" fontId="2" fillId="3" borderId="0" xfId="0" applyFont="1" applyFill="1"/>
    <xf numFmtId="0" fontId="14" fillId="0" borderId="0" xfId="0" applyFont="1" applyFill="1"/>
    <xf numFmtId="0" fontId="5" fillId="0" borderId="4" xfId="0" applyFont="1" applyFill="1" applyBorder="1"/>
    <xf numFmtId="0" fontId="5" fillId="0" borderId="0" xfId="0" applyFont="1" applyFill="1" applyBorder="1"/>
    <xf numFmtId="0" fontId="7" fillId="0" borderId="0" xfId="0" applyFont="1" applyFill="1"/>
    <xf numFmtId="0" fontId="0" fillId="7" borderId="0" xfId="0" applyFill="1"/>
    <xf numFmtId="14" fontId="0" fillId="0" borderId="0" xfId="0" applyNumberFormat="1" applyBorder="1"/>
    <xf numFmtId="0" fontId="17" fillId="0" borderId="0" xfId="0" applyFont="1"/>
    <xf numFmtId="0" fontId="9" fillId="8" borderId="5" xfId="0" applyFont="1" applyFill="1" applyBorder="1"/>
    <xf numFmtId="0" fontId="5" fillId="8" borderId="6" xfId="0" applyFont="1" applyFill="1" applyBorder="1"/>
    <xf numFmtId="0" fontId="5" fillId="8" borderId="7" xfId="0" applyFont="1" applyFill="1" applyBorder="1"/>
    <xf numFmtId="0" fontId="15" fillId="0" borderId="4" xfId="0" applyFont="1" applyBorder="1" applyAlignment="1">
      <alignment horizontal="center"/>
    </xf>
    <xf numFmtId="0" fontId="15" fillId="0" borderId="0" xfId="0" applyFont="1" applyBorder="1" applyAlignment="1">
      <alignment horizontal="center"/>
    </xf>
    <xf numFmtId="0" fontId="15" fillId="0" borderId="8" xfId="0" applyFont="1" applyBorder="1" applyAlignment="1">
      <alignment horizontal="center"/>
    </xf>
    <xf numFmtId="0" fontId="0" fillId="0" borderId="8" xfId="0" applyFill="1" applyBorder="1"/>
    <xf numFmtId="0" fontId="0" fillId="0" borderId="4" xfId="0" applyFill="1" applyBorder="1"/>
    <xf numFmtId="0" fontId="0" fillId="0" borderId="0" xfId="0" applyFill="1" applyBorder="1"/>
    <xf numFmtId="0" fontId="13" fillId="8" borderId="7" xfId="0" applyFont="1" applyFill="1" applyBorder="1" applyAlignment="1">
      <alignment horizontal="center"/>
    </xf>
    <xf numFmtId="1" fontId="19" fillId="0" borderId="0" xfId="0" applyNumberFormat="1" applyFont="1" applyFill="1"/>
    <xf numFmtId="0" fontId="7" fillId="0" borderId="0" xfId="0" applyFont="1"/>
    <xf numFmtId="0" fontId="20" fillId="0" borderId="0" xfId="0" applyFont="1" applyBorder="1" applyAlignment="1">
      <alignment horizontal="center"/>
    </xf>
    <xf numFmtId="2" fontId="19" fillId="0" borderId="0" xfId="0" applyNumberFormat="1" applyFont="1" applyFill="1"/>
    <xf numFmtId="1" fontId="0" fillId="0" borderId="0" xfId="0" applyNumberFormat="1" applyFill="1"/>
    <xf numFmtId="0" fontId="0" fillId="0" borderId="9" xfId="0" applyBorder="1"/>
    <xf numFmtId="0" fontId="15" fillId="0" borderId="0" xfId="0" applyFont="1" applyFill="1" applyAlignment="1">
      <alignment horizontal="center"/>
    </xf>
    <xf numFmtId="0" fontId="13" fillId="0" borderId="0" xfId="0" applyFont="1" applyFill="1" applyAlignment="1">
      <alignment horizontal="center"/>
    </xf>
    <xf numFmtId="167" fontId="0" fillId="0" borderId="0" xfId="1" applyNumberFormat="1" applyFont="1" applyFill="1"/>
    <xf numFmtId="167" fontId="5" fillId="0" borderId="0" xfId="1" applyNumberFormat="1" applyFont="1" applyFill="1"/>
    <xf numFmtId="167" fontId="2" fillId="9" borderId="0" xfId="1" applyNumberFormat="1" applyFont="1" applyFill="1"/>
    <xf numFmtId="167" fontId="0" fillId="10" borderId="0" xfId="1" applyNumberFormat="1" applyFont="1" applyFill="1"/>
    <xf numFmtId="0" fontId="5" fillId="10" borderId="0" xfId="0" applyFont="1" applyFill="1"/>
    <xf numFmtId="3" fontId="0" fillId="0" borderId="4" xfId="0" applyNumberFormat="1" applyFill="1" applyBorder="1"/>
    <xf numFmtId="1" fontId="22" fillId="0" borderId="0" xfId="0" applyNumberFormat="1" applyFont="1" applyFill="1"/>
    <xf numFmtId="1" fontId="23" fillId="0" borderId="0" xfId="0" applyNumberFormat="1" applyFont="1" applyFill="1"/>
    <xf numFmtId="0" fontId="0" fillId="0" borderId="10" xfId="0" applyBorder="1"/>
    <xf numFmtId="0" fontId="0" fillId="0" borderId="11" xfId="0" applyBorder="1"/>
    <xf numFmtId="0" fontId="5" fillId="0" borderId="0" xfId="0" applyFont="1" applyBorder="1"/>
    <xf numFmtId="0" fontId="5" fillId="0" borderId="8" xfId="0" applyFont="1" applyBorder="1"/>
    <xf numFmtId="14" fontId="0" fillId="0" borderId="0" xfId="0" applyNumberFormat="1"/>
    <xf numFmtId="0" fontId="0" fillId="0" borderId="5" xfId="0" applyBorder="1"/>
    <xf numFmtId="0" fontId="0" fillId="0" borderId="6" xfId="0" applyBorder="1"/>
    <xf numFmtId="0" fontId="0" fillId="0" borderId="7" xfId="0" applyBorder="1"/>
    <xf numFmtId="0" fontId="0" fillId="0" borderId="12" xfId="0" applyBorder="1"/>
    <xf numFmtId="1" fontId="5" fillId="0" borderId="4" xfId="0" applyNumberFormat="1" applyFont="1" applyFill="1" applyBorder="1"/>
    <xf numFmtId="1" fontId="5" fillId="0" borderId="0" xfId="0" applyNumberFormat="1" applyFont="1" applyFill="1" applyBorder="1"/>
    <xf numFmtId="0" fontId="12" fillId="0" borderId="0" xfId="0" applyFont="1" applyFill="1"/>
    <xf numFmtId="0" fontId="0" fillId="2" borderId="4" xfId="0" applyFill="1" applyBorder="1"/>
    <xf numFmtId="1" fontId="23" fillId="0" borderId="4" xfId="0" applyNumberFormat="1" applyFont="1" applyFill="1" applyBorder="1"/>
    <xf numFmtId="0" fontId="2" fillId="0" borderId="1" xfId="0" applyFont="1" applyBorder="1"/>
    <xf numFmtId="0" fontId="24" fillId="0" borderId="0" xfId="0" applyFont="1"/>
    <xf numFmtId="0" fontId="11" fillId="3" borderId="0" xfId="0" applyFont="1" applyFill="1"/>
    <xf numFmtId="0" fontId="5" fillId="3" borderId="0" xfId="0" applyFont="1" applyFill="1"/>
    <xf numFmtId="0" fontId="0" fillId="8" borderId="0" xfId="0" applyFill="1"/>
    <xf numFmtId="0" fontId="0" fillId="8" borderId="4" xfId="0" applyFill="1" applyBorder="1"/>
    <xf numFmtId="0" fontId="0" fillId="8" borderId="8" xfId="0" applyFill="1" applyBorder="1"/>
    <xf numFmtId="8" fontId="0" fillId="8" borderId="0" xfId="0" applyNumberFormat="1" applyFill="1"/>
    <xf numFmtId="0" fontId="5" fillId="7" borderId="0" xfId="0" applyFont="1" applyFill="1"/>
    <xf numFmtId="0" fontId="0" fillId="11" borderId="0" xfId="0" applyFill="1" applyBorder="1"/>
    <xf numFmtId="0" fontId="17" fillId="0" borderId="0" xfId="0" applyFont="1" applyBorder="1" applyAlignment="1">
      <alignment horizontal="center"/>
    </xf>
    <xf numFmtId="168" fontId="0" fillId="0" borderId="0" xfId="0" applyNumberFormat="1" applyBorder="1"/>
    <xf numFmtId="0" fontId="21" fillId="0" borderId="0" xfId="0" applyFont="1" applyFill="1"/>
    <xf numFmtId="0" fontId="5" fillId="0" borderId="0" xfId="0" applyFont="1" applyFill="1" applyAlignment="1">
      <alignment horizontal="left" vertical="top"/>
    </xf>
    <xf numFmtId="0" fontId="5" fillId="0" borderId="0" xfId="0" applyFont="1" applyFill="1" applyAlignment="1">
      <alignment horizontal="left"/>
    </xf>
    <xf numFmtId="1" fontId="5" fillId="0" borderId="8" xfId="0" applyNumberFormat="1" applyFont="1" applyFill="1" applyBorder="1"/>
    <xf numFmtId="1" fontId="2" fillId="0" borderId="0" xfId="0" applyNumberFormat="1" applyFont="1" applyFill="1"/>
    <xf numFmtId="0" fontId="15" fillId="9" borderId="0" xfId="0" applyFont="1" applyFill="1" applyAlignment="1">
      <alignment horizontal="center"/>
    </xf>
    <xf numFmtId="2" fontId="12" fillId="0" borderId="0" xfId="0" applyNumberFormat="1" applyFont="1" applyFill="1"/>
    <xf numFmtId="1" fontId="23" fillId="0" borderId="0" xfId="0" applyNumberFormat="1" applyFont="1" applyFill="1" applyBorder="1"/>
    <xf numFmtId="0" fontId="0" fillId="12" borderId="0" xfId="0" applyFill="1"/>
    <xf numFmtId="167" fontId="0" fillId="0" borderId="0" xfId="0" applyNumberFormat="1"/>
    <xf numFmtId="1" fontId="2" fillId="0" borderId="1" xfId="0" applyNumberFormat="1" applyFont="1" applyFill="1" applyBorder="1"/>
    <xf numFmtId="0" fontId="2" fillId="10" borderId="0" xfId="0" applyFont="1" applyFill="1"/>
    <xf numFmtId="0" fontId="0" fillId="0" borderId="0" xfId="0" applyNumberFormat="1"/>
    <xf numFmtId="1" fontId="5" fillId="0" borderId="0" xfId="0" applyNumberFormat="1" applyFont="1"/>
    <xf numFmtId="1" fontId="2" fillId="0" borderId="0" xfId="0" applyNumberFormat="1" applyFont="1"/>
    <xf numFmtId="1" fontId="0" fillId="10" borderId="0" xfId="0" applyNumberFormat="1" applyFill="1"/>
    <xf numFmtId="0" fontId="0" fillId="0" borderId="4" xfId="0" applyBorder="1"/>
    <xf numFmtId="0" fontId="0" fillId="0" borderId="8" xfId="0" applyBorder="1"/>
    <xf numFmtId="0" fontId="0" fillId="0" borderId="0" xfId="0" applyNumberFormat="1" applyBorder="1"/>
    <xf numFmtId="0" fontId="0" fillId="0" borderId="12" xfId="0" applyNumberFormat="1" applyBorder="1"/>
    <xf numFmtId="0" fontId="12" fillId="13" borderId="0" xfId="0" applyFont="1" applyFill="1"/>
    <xf numFmtId="0" fontId="0" fillId="13" borderId="0" xfId="0" applyFill="1"/>
    <xf numFmtId="0" fontId="25" fillId="0" borderId="0" xfId="0" applyFont="1" applyAlignment="1">
      <alignment horizontal="center"/>
    </xf>
    <xf numFmtId="0" fontId="26" fillId="0" borderId="0" xfId="0" applyFont="1" applyAlignment="1">
      <alignment horizontal="center"/>
    </xf>
    <xf numFmtId="0" fontId="27" fillId="0" borderId="0" xfId="0" applyFont="1" applyAlignment="1">
      <alignment horizontal="center"/>
    </xf>
    <xf numFmtId="0" fontId="0" fillId="14" borderId="0" xfId="0" applyFill="1"/>
    <xf numFmtId="0" fontId="0" fillId="14" borderId="0" xfId="0" applyFill="1" applyBorder="1"/>
    <xf numFmtId="0" fontId="12" fillId="0" borderId="0" xfId="0" applyFont="1" applyFill="1" applyAlignment="1">
      <alignment horizontal="left" vertical="top"/>
    </xf>
    <xf numFmtId="0" fontId="0" fillId="0" borderId="0" xfId="0" applyFill="1" applyBorder="1" applyAlignment="1">
      <alignment horizontal="center"/>
    </xf>
    <xf numFmtId="0" fontId="21" fillId="2" borderId="0" xfId="0" applyFont="1" applyFill="1"/>
    <xf numFmtId="2" fontId="21" fillId="2" borderId="0" xfId="0" applyNumberFormat="1" applyFont="1" applyFill="1"/>
    <xf numFmtId="0" fontId="0" fillId="13" borderId="4" xfId="0" applyFill="1" applyBorder="1"/>
    <xf numFmtId="0" fontId="0" fillId="13" borderId="0" xfId="0" applyFill="1" applyBorder="1"/>
    <xf numFmtId="0" fontId="5" fillId="0" borderId="5" xfId="0" applyFont="1" applyFill="1" applyBorder="1"/>
    <xf numFmtId="0" fontId="5" fillId="0" borderId="6" xfId="0" applyFont="1" applyFill="1" applyBorder="1"/>
    <xf numFmtId="0" fontId="5" fillId="0" borderId="7" xfId="0" applyFont="1" applyFill="1" applyBorder="1"/>
    <xf numFmtId="0" fontId="5" fillId="0" borderId="8" xfId="0" applyFont="1" applyFill="1" applyBorder="1"/>
    <xf numFmtId="0" fontId="5" fillId="0" borderId="10" xfId="0" applyFont="1" applyFill="1" applyBorder="1"/>
    <xf numFmtId="0" fontId="5" fillId="0" borderId="12" xfId="0" applyFont="1" applyFill="1" applyBorder="1"/>
    <xf numFmtId="0" fontId="5" fillId="0" borderId="11" xfId="0" applyFont="1" applyFill="1" applyBorder="1"/>
    <xf numFmtId="1" fontId="22" fillId="9" borderId="0" xfId="0" applyNumberFormat="1" applyFont="1" applyFill="1"/>
    <xf numFmtId="1" fontId="9" fillId="0" borderId="0" xfId="0" applyNumberFormat="1" applyFont="1" applyFill="1"/>
    <xf numFmtId="0" fontId="0" fillId="0" borderId="9" xfId="0" applyNumberFormat="1" applyBorder="1"/>
    <xf numFmtId="0" fontId="5" fillId="0" borderId="0" xfId="0" applyNumberFormat="1" applyFont="1" applyFill="1"/>
    <xf numFmtId="3" fontId="0" fillId="0" borderId="11" xfId="0" applyNumberFormat="1" applyBorder="1"/>
    <xf numFmtId="167" fontId="2" fillId="0" borderId="0" xfId="1" applyNumberFormat="1" applyFont="1" applyFill="1"/>
    <xf numFmtId="0" fontId="13" fillId="0" borderId="0" xfId="0" applyNumberFormat="1" applyFont="1" applyBorder="1"/>
    <xf numFmtId="167" fontId="31" fillId="0" borderId="0" xfId="0" applyNumberFormat="1" applyFont="1" applyFill="1" applyBorder="1"/>
    <xf numFmtId="0" fontId="1" fillId="0" borderId="0" xfId="0" applyFont="1" applyAlignment="1">
      <alignment horizontal="right"/>
    </xf>
    <xf numFmtId="0" fontId="0" fillId="0" borderId="13" xfId="0" applyFill="1" applyBorder="1"/>
    <xf numFmtId="0" fontId="30" fillId="0" borderId="0" xfId="0" applyFont="1" applyFill="1" applyBorder="1"/>
    <xf numFmtId="0" fontId="30" fillId="0" borderId="13" xfId="0" applyFont="1" applyFill="1" applyBorder="1"/>
    <xf numFmtId="0" fontId="0" fillId="0" borderId="3" xfId="0" applyFill="1" applyBorder="1"/>
    <xf numFmtId="167" fontId="30" fillId="0" borderId="0" xfId="1" applyNumberFormat="1" applyFont="1" applyFill="1" applyBorder="1"/>
    <xf numFmtId="167" fontId="30" fillId="0" borderId="13" xfId="1" applyNumberFormat="1" applyFont="1" applyFill="1" applyBorder="1"/>
    <xf numFmtId="0" fontId="12" fillId="0" borderId="0" xfId="0" applyFont="1" applyFill="1" applyBorder="1"/>
    <xf numFmtId="167" fontId="29" fillId="0" borderId="0" xfId="1" applyNumberFormat="1" applyFont="1" applyFill="1" applyBorder="1"/>
    <xf numFmtId="167" fontId="29" fillId="0" borderId="13" xfId="1" applyNumberFormat="1" applyFont="1" applyFill="1" applyBorder="1"/>
    <xf numFmtId="167" fontId="32" fillId="0" borderId="0" xfId="0" applyNumberFormat="1" applyFont="1" applyBorder="1"/>
    <xf numFmtId="0" fontId="20" fillId="9" borderId="0" xfId="0" applyFont="1" applyFill="1" applyBorder="1" applyAlignment="1">
      <alignment horizontal="center"/>
    </xf>
    <xf numFmtId="0" fontId="20" fillId="0" borderId="0" xfId="0" applyFont="1" applyFill="1" applyBorder="1" applyAlignment="1">
      <alignment horizontal="center"/>
    </xf>
    <xf numFmtId="0" fontId="7" fillId="0" borderId="0" xfId="0" applyFont="1" applyBorder="1" applyAlignment="1">
      <alignment horizontal="center"/>
    </xf>
    <xf numFmtId="0" fontId="13" fillId="0" borderId="0" xfId="0" applyFont="1" applyBorder="1" applyAlignment="1">
      <alignment horizontal="center"/>
    </xf>
    <xf numFmtId="3" fontId="0" fillId="0" borderId="0" xfId="0" applyNumberFormat="1" applyBorder="1"/>
    <xf numFmtId="0" fontId="13" fillId="0" borderId="6" xfId="0" applyFont="1" applyBorder="1" applyAlignment="1">
      <alignment horizontal="right"/>
    </xf>
    <xf numFmtId="0" fontId="13" fillId="0" borderId="7" xfId="0" applyFont="1" applyBorder="1" applyAlignment="1">
      <alignment horizontal="right"/>
    </xf>
    <xf numFmtId="3" fontId="0" fillId="0" borderId="8" xfId="0" applyNumberFormat="1" applyBorder="1"/>
    <xf numFmtId="3" fontId="0" fillId="0" borderId="12" xfId="0" applyNumberFormat="1" applyBorder="1"/>
    <xf numFmtId="9" fontId="0" fillId="0" borderId="0" xfId="0" applyNumberFormat="1" applyBorder="1"/>
    <xf numFmtId="0" fontId="13" fillId="0" borderId="4" xfId="0" applyFont="1" applyBorder="1" applyAlignment="1">
      <alignment horizontal="center"/>
    </xf>
    <xf numFmtId="0" fontId="2" fillId="0" borderId="10" xfId="0" applyFont="1" applyFill="1" applyBorder="1"/>
    <xf numFmtId="9" fontId="33" fillId="0" borderId="0" xfId="0" applyNumberFormat="1" applyFont="1"/>
    <xf numFmtId="0" fontId="33" fillId="0" borderId="0" xfId="0" applyFont="1" applyFill="1"/>
    <xf numFmtId="0" fontId="2" fillId="12" borderId="0" xfId="0" applyFont="1" applyFill="1"/>
    <xf numFmtId="0" fontId="3" fillId="0" borderId="5" xfId="0" applyFont="1" applyBorder="1"/>
    <xf numFmtId="0" fontId="5" fillId="0" borderId="4" xfId="0" applyFont="1" applyBorder="1" applyAlignment="1">
      <alignment horizontal="left" vertical="top"/>
    </xf>
    <xf numFmtId="170" fontId="0" fillId="0" borderId="0" xfId="2" applyNumberFormat="1" applyFont="1" applyBorder="1"/>
    <xf numFmtId="0" fontId="5" fillId="0" borderId="4" xfId="0" applyFont="1" applyBorder="1" applyAlignment="1">
      <alignment horizontal="left"/>
    </xf>
    <xf numFmtId="1" fontId="5" fillId="0" borderId="1" xfId="0" applyNumberFormat="1" applyFont="1" applyFill="1" applyBorder="1"/>
    <xf numFmtId="0" fontId="0" fillId="0" borderId="0" xfId="0" applyAlignment="1"/>
    <xf numFmtId="0" fontId="0" fillId="8" borderId="0" xfId="0" applyFill="1" applyBorder="1"/>
    <xf numFmtId="0" fontId="5" fillId="0" borderId="0" xfId="0" applyFont="1" applyFill="1" applyBorder="1" applyAlignment="1">
      <alignment horizontal="center"/>
    </xf>
    <xf numFmtId="0" fontId="0" fillId="15" borderId="6" xfId="0" applyFill="1" applyBorder="1"/>
    <xf numFmtId="0" fontId="0" fillId="15" borderId="7" xfId="0" applyFill="1" applyBorder="1"/>
    <xf numFmtId="0" fontId="17" fillId="0" borderId="0" xfId="0" applyFont="1" applyFill="1" applyBorder="1" applyAlignment="1">
      <alignment horizontal="center"/>
    </xf>
    <xf numFmtId="167" fontId="30" fillId="0" borderId="0" xfId="0" applyNumberFormat="1" applyFont="1" applyFill="1" applyBorder="1"/>
    <xf numFmtId="167" fontId="34" fillId="0" borderId="0" xfId="0" applyNumberFormat="1" applyFont="1" applyFill="1" applyBorder="1"/>
    <xf numFmtId="0" fontId="5" fillId="0" borderId="5" xfId="0" applyFont="1" applyBorder="1"/>
    <xf numFmtId="0" fontId="5" fillId="0" borderId="6" xfId="0" applyFont="1" applyBorder="1"/>
    <xf numFmtId="0" fontId="5" fillId="0" borderId="12" xfId="0" applyFont="1" applyBorder="1"/>
    <xf numFmtId="0" fontId="5" fillId="0" borderId="11" xfId="0" applyFont="1" applyBorder="1"/>
    <xf numFmtId="9" fontId="5" fillId="0" borderId="6" xfId="2" applyFont="1" applyBorder="1"/>
    <xf numFmtId="9" fontId="5" fillId="0" borderId="0" xfId="2" applyFont="1" applyBorder="1"/>
    <xf numFmtId="9" fontId="5" fillId="0" borderId="12" xfId="2" applyFont="1" applyBorder="1"/>
    <xf numFmtId="0" fontId="5" fillId="0" borderId="0" xfId="0" applyFont="1" applyFill="1" applyAlignment="1">
      <alignment horizontal="right"/>
    </xf>
    <xf numFmtId="1" fontId="5" fillId="0" borderId="0" xfId="0" quotePrefix="1" applyNumberFormat="1" applyFont="1" applyFill="1" applyBorder="1"/>
    <xf numFmtId="0" fontId="5" fillId="0" borderId="0" xfId="0" applyFont="1" applyFill="1" applyBorder="1" applyAlignment="1"/>
    <xf numFmtId="1" fontId="0" fillId="0" borderId="0" xfId="1" applyNumberFormat="1" applyFont="1"/>
    <xf numFmtId="0" fontId="0" fillId="0" borderId="4" xfId="0" applyBorder="1" applyAlignment="1">
      <alignment horizontal="center"/>
    </xf>
    <xf numFmtId="1" fontId="2" fillId="0" borderId="0" xfId="0" applyNumberFormat="1" applyFont="1" applyAlignment="1">
      <alignment horizontal="center"/>
    </xf>
    <xf numFmtId="0" fontId="0" fillId="0" borderId="0" xfId="0" applyBorder="1" applyAlignment="1">
      <alignment horizontal="center"/>
    </xf>
    <xf numFmtId="0" fontId="9" fillId="0" borderId="0" xfId="0" applyFont="1" applyFill="1"/>
    <xf numFmtId="2" fontId="9" fillId="0" borderId="0" xfId="0" applyNumberFormat="1" applyFont="1" applyFill="1"/>
    <xf numFmtId="0" fontId="0" fillId="0" borderId="0" xfId="0" applyAlignment="1">
      <alignment horizontal="right"/>
    </xf>
    <xf numFmtId="0" fontId="37" fillId="0" borderId="0" xfId="0" applyFont="1" applyAlignment="1">
      <alignment horizontal="center"/>
    </xf>
    <xf numFmtId="1" fontId="0" fillId="11" borderId="0" xfId="0" applyNumberFormat="1" applyFill="1" applyBorder="1"/>
    <xf numFmtId="0" fontId="38" fillId="0" borderId="0" xfId="0" applyFont="1" applyBorder="1"/>
    <xf numFmtId="0" fontId="5" fillId="0" borderId="0" xfId="0" applyNumberFormat="1" applyFont="1"/>
    <xf numFmtId="9" fontId="41" fillId="0" borderId="1" xfId="2" applyFont="1" applyBorder="1"/>
    <xf numFmtId="0" fontId="0" fillId="0" borderId="0" xfId="0" applyBorder="1" applyAlignment="1">
      <alignment horizontal="right"/>
    </xf>
    <xf numFmtId="1" fontId="2" fillId="0" borderId="0" xfId="0" applyNumberFormat="1" applyFont="1" applyFill="1" applyBorder="1"/>
    <xf numFmtId="0" fontId="21" fillId="0" borderId="0" xfId="0" applyFont="1"/>
    <xf numFmtId="0" fontId="10" fillId="0" borderId="0" xfId="0" applyFont="1"/>
    <xf numFmtId="0" fontId="13" fillId="0" borderId="0" xfId="0" applyFont="1" applyFill="1" applyBorder="1" applyAlignment="1">
      <alignment horizontal="right"/>
    </xf>
    <xf numFmtId="3" fontId="0" fillId="0" borderId="0" xfId="0" applyNumberFormat="1" applyFill="1" applyBorder="1"/>
    <xf numFmtId="3" fontId="2" fillId="0" borderId="0" xfId="0" applyNumberFormat="1" applyFont="1" applyFill="1" applyBorder="1"/>
    <xf numFmtId="170" fontId="2" fillId="0" borderId="0" xfId="2" applyNumberFormat="1" applyFont="1" applyFill="1" applyBorder="1"/>
    <xf numFmtId="0" fontId="0" fillId="0" borderId="3" xfId="0" applyBorder="1" applyAlignment="1">
      <alignment horizontal="center"/>
    </xf>
    <xf numFmtId="0" fontId="0" fillId="0" borderId="14" xfId="0" applyBorder="1" applyAlignment="1">
      <alignment horizontal="center"/>
    </xf>
    <xf numFmtId="0" fontId="17" fillId="15" borderId="6" xfId="0" applyFont="1" applyFill="1" applyBorder="1"/>
    <xf numFmtId="0" fontId="0" fillId="0" borderId="15" xfId="0" applyFill="1" applyBorder="1"/>
    <xf numFmtId="0" fontId="0" fillId="0" borderId="16" xfId="0" applyFill="1" applyBorder="1"/>
    <xf numFmtId="0" fontId="7" fillId="0" borderId="0" xfId="0" applyFont="1" applyFill="1" applyBorder="1" applyAlignment="1">
      <alignment horizontal="left" indent="1"/>
    </xf>
    <xf numFmtId="0" fontId="2" fillId="0" borderId="0" xfId="0" applyFont="1" applyFill="1" applyBorder="1"/>
    <xf numFmtId="167" fontId="2" fillId="0" borderId="0" xfId="0" applyNumberFormat="1" applyFont="1" applyFill="1" applyBorder="1" applyAlignment="1"/>
    <xf numFmtId="170" fontId="2" fillId="0" borderId="0" xfId="2" applyNumberFormat="1" applyFont="1" applyBorder="1"/>
    <xf numFmtId="0" fontId="9" fillId="5" borderId="17" xfId="0" applyFont="1" applyFill="1" applyBorder="1"/>
    <xf numFmtId="0" fontId="0" fillId="5" borderId="18" xfId="0" applyFill="1" applyBorder="1"/>
    <xf numFmtId="0" fontId="0" fillId="5" borderId="19" xfId="0" applyFill="1" applyBorder="1"/>
    <xf numFmtId="1" fontId="2" fillId="0" borderId="1" xfId="0" applyNumberFormat="1" applyFont="1" applyBorder="1"/>
    <xf numFmtId="167" fontId="29" fillId="0" borderId="1" xfId="1" applyNumberFormat="1" applyFont="1" applyFill="1" applyBorder="1"/>
    <xf numFmtId="0" fontId="46" fillId="0" borderId="0" xfId="0" applyFont="1"/>
    <xf numFmtId="0" fontId="9" fillId="0" borderId="2" xfId="0" applyFont="1" applyFill="1" applyBorder="1" applyAlignment="1">
      <alignment horizontal="left"/>
    </xf>
    <xf numFmtId="1" fontId="0" fillId="0" borderId="0" xfId="0" quotePrefix="1" applyNumberFormat="1"/>
    <xf numFmtId="14" fontId="2" fillId="0" borderId="1" xfId="0" applyNumberFormat="1" applyFont="1" applyBorder="1"/>
    <xf numFmtId="9" fontId="0" fillId="0" borderId="6" xfId="2" applyFont="1" applyBorder="1"/>
    <xf numFmtId="0" fontId="0" fillId="0" borderId="20" xfId="0" applyBorder="1"/>
    <xf numFmtId="0" fontId="0" fillId="0" borderId="21" xfId="0" applyBorder="1"/>
    <xf numFmtId="9" fontId="0" fillId="0" borderId="20" xfId="2" applyNumberFormat="1" applyFont="1" applyBorder="1"/>
    <xf numFmtId="0" fontId="0" fillId="0" borderId="22" xfId="0" applyBorder="1"/>
    <xf numFmtId="0" fontId="0" fillId="0" borderId="23" xfId="0" applyBorder="1"/>
    <xf numFmtId="167" fontId="2" fillId="0" borderId="4" xfId="1" applyNumberFormat="1" applyFont="1" applyFill="1" applyBorder="1"/>
    <xf numFmtId="183" fontId="2" fillId="0" borderId="8" xfId="0" applyNumberFormat="1" applyFont="1" applyBorder="1" applyAlignment="1">
      <alignment shrinkToFit="1"/>
    </xf>
    <xf numFmtId="167" fontId="5" fillId="0" borderId="7" xfId="1" applyNumberFormat="1" applyFont="1" applyFill="1" applyBorder="1" applyAlignment="1">
      <alignment horizontal="right"/>
    </xf>
    <xf numFmtId="167" fontId="5" fillId="0" borderId="24" xfId="1" applyNumberFormat="1" applyFont="1" applyFill="1" applyBorder="1" applyAlignment="1">
      <alignment horizontal="right"/>
    </xf>
    <xf numFmtId="0" fontId="0" fillId="0" borderId="25" xfId="0" applyBorder="1" applyAlignment="1">
      <alignment horizontal="right"/>
    </xf>
    <xf numFmtId="0" fontId="0" fillId="0" borderId="24" xfId="0" applyBorder="1" applyAlignment="1">
      <alignment horizontal="right"/>
    </xf>
    <xf numFmtId="9" fontId="0" fillId="0" borderId="20" xfId="2" quotePrefix="1" applyNumberFormat="1" applyFont="1" applyBorder="1"/>
    <xf numFmtId="3" fontId="5" fillId="9" borderId="1" xfId="0" applyNumberFormat="1" applyFont="1" applyFill="1" applyBorder="1"/>
    <xf numFmtId="0" fontId="45" fillId="0" borderId="0" xfId="0" applyFont="1"/>
    <xf numFmtId="0" fontId="13" fillId="0" borderId="0" xfId="0" applyFont="1" applyBorder="1"/>
    <xf numFmtId="0" fontId="13" fillId="0" borderId="8" xfId="0" applyFont="1" applyBorder="1"/>
    <xf numFmtId="3" fontId="2" fillId="0" borderId="1" xfId="0" applyNumberFormat="1" applyFont="1" applyFill="1" applyBorder="1"/>
    <xf numFmtId="167" fontId="5" fillId="0" borderId="0" xfId="0" applyNumberFormat="1" applyFont="1" applyFill="1" applyBorder="1" applyAlignment="1"/>
    <xf numFmtId="170" fontId="2" fillId="0" borderId="11" xfId="2" applyNumberFormat="1" applyFont="1" applyBorder="1" applyAlignment="1">
      <alignment shrinkToFit="1"/>
    </xf>
    <xf numFmtId="167" fontId="5" fillId="0" borderId="0" xfId="0" applyNumberFormat="1" applyFont="1" applyBorder="1" applyAlignment="1">
      <alignment shrinkToFit="1"/>
    </xf>
    <xf numFmtId="167" fontId="2" fillId="0" borderId="8" xfId="0" applyNumberFormat="1" applyFont="1" applyBorder="1" applyAlignment="1">
      <alignment shrinkToFit="1"/>
    </xf>
    <xf numFmtId="0" fontId="17" fillId="0" borderId="8" xfId="0" applyFont="1" applyBorder="1" applyAlignment="1">
      <alignment horizontal="center"/>
    </xf>
    <xf numFmtId="0" fontId="9" fillId="0" borderId="0" xfId="0" applyFont="1" applyFill="1" applyBorder="1"/>
    <xf numFmtId="1" fontId="2" fillId="9" borderId="1" xfId="0" applyNumberFormat="1" applyFont="1" applyFill="1" applyBorder="1"/>
    <xf numFmtId="167" fontId="5" fillId="0" borderId="0" xfId="1" applyNumberFormat="1" applyFont="1" applyFill="1" applyBorder="1"/>
    <xf numFmtId="0" fontId="2" fillId="0" borderId="0" xfId="0" applyFont="1" applyBorder="1" applyAlignment="1">
      <alignment horizontal="center"/>
    </xf>
    <xf numFmtId="0" fontId="2" fillId="0" borderId="0" xfId="0" applyFont="1" applyBorder="1"/>
    <xf numFmtId="0" fontId="2" fillId="0" borderId="0" xfId="0" applyFont="1" applyBorder="1" applyAlignment="1">
      <alignment horizontal="right"/>
    </xf>
    <xf numFmtId="0" fontId="48" fillId="0" borderId="0" xfId="0" applyFont="1" applyBorder="1"/>
    <xf numFmtId="0" fontId="0" fillId="0" borderId="0" xfId="0" applyBorder="1" applyAlignment="1">
      <alignment horizontal="left"/>
    </xf>
    <xf numFmtId="0" fontId="5" fillId="0" borderId="0" xfId="0" applyFont="1" applyBorder="1" applyAlignment="1">
      <alignment horizontal="right"/>
    </xf>
    <xf numFmtId="3" fontId="36" fillId="0" borderId="0" xfId="0" applyNumberFormat="1" applyFont="1" applyBorder="1"/>
    <xf numFmtId="0" fontId="40" fillId="0" borderId="0" xfId="0" applyFont="1" applyBorder="1"/>
    <xf numFmtId="0" fontId="44" fillId="0" borderId="0" xfId="0" applyFont="1" applyFill="1" applyBorder="1" applyAlignment="1">
      <alignment horizontal="right"/>
    </xf>
    <xf numFmtId="0" fontId="21" fillId="0" borderId="0" xfId="0" applyFont="1" applyBorder="1"/>
    <xf numFmtId="0" fontId="12" fillId="0" borderId="0" xfId="0" applyFont="1" applyBorder="1" applyAlignment="1">
      <alignment horizontal="right"/>
    </xf>
    <xf numFmtId="1" fontId="0" fillId="0" borderId="0" xfId="0" applyNumberFormat="1" applyBorder="1"/>
    <xf numFmtId="0" fontId="45" fillId="0" borderId="0" xfId="0" applyFont="1" applyBorder="1" applyAlignment="1">
      <alignment horizontal="left"/>
    </xf>
    <xf numFmtId="0" fontId="12" fillId="0" borderId="0" xfId="0" applyFont="1" applyBorder="1" applyAlignment="1">
      <alignment horizontal="left" indent="1"/>
    </xf>
    <xf numFmtId="0" fontId="12" fillId="0" borderId="0" xfId="0" applyFont="1" applyFill="1" applyBorder="1" applyAlignment="1">
      <alignment horizontal="left" indent="1"/>
    </xf>
    <xf numFmtId="0" fontId="12" fillId="0" borderId="0" xfId="0" applyFont="1" applyBorder="1" applyAlignment="1">
      <alignment horizontal="left"/>
    </xf>
    <xf numFmtId="0" fontId="17" fillId="0" borderId="26" xfId="0" applyFont="1" applyBorder="1"/>
    <xf numFmtId="0" fontId="0" fillId="0" borderId="27" xfId="0" applyBorder="1"/>
    <xf numFmtId="0" fontId="0" fillId="0" borderId="26" xfId="0" applyBorder="1"/>
    <xf numFmtId="0" fontId="12" fillId="0" borderId="26" xfId="0" applyFont="1" applyBorder="1"/>
    <xf numFmtId="0" fontId="20" fillId="0" borderId="27" xfId="0" applyFont="1" applyFill="1" applyBorder="1" applyAlignment="1">
      <alignment horizontal="center"/>
    </xf>
    <xf numFmtId="0" fontId="2" fillId="0" borderId="26" xfId="0" applyFont="1" applyBorder="1"/>
    <xf numFmtId="0" fontId="0" fillId="0" borderId="27" xfId="0" applyBorder="1" applyAlignment="1">
      <alignment horizontal="right"/>
    </xf>
    <xf numFmtId="1" fontId="0" fillId="0" borderId="27" xfId="0" applyNumberFormat="1" applyBorder="1"/>
    <xf numFmtId="0" fontId="17" fillId="0" borderId="27" xfId="0" applyFont="1" applyBorder="1" applyAlignment="1">
      <alignment horizontal="center"/>
    </xf>
    <xf numFmtId="0" fontId="17" fillId="15" borderId="28" xfId="0" applyFont="1" applyFill="1" applyBorder="1"/>
    <xf numFmtId="0" fontId="0" fillId="0" borderId="29" xfId="0" applyBorder="1"/>
    <xf numFmtId="0" fontId="0" fillId="0" borderId="27" xfId="0" applyFill="1" applyBorder="1"/>
    <xf numFmtId="0" fontId="5" fillId="0" borderId="27" xfId="0" applyFont="1" applyFill="1" applyBorder="1" applyAlignment="1"/>
    <xf numFmtId="0" fontId="0" fillId="0" borderId="28" xfId="0" applyBorder="1"/>
    <xf numFmtId="0" fontId="13" fillId="0" borderId="26" xfId="0" applyFont="1" applyBorder="1" applyAlignment="1">
      <alignment horizontal="center"/>
    </xf>
    <xf numFmtId="0" fontId="0" fillId="0" borderId="30" xfId="0" applyBorder="1"/>
    <xf numFmtId="9" fontId="0" fillId="0" borderId="31" xfId="0" applyNumberFormat="1" applyBorder="1"/>
    <xf numFmtId="167" fontId="5" fillId="0" borderId="31" xfId="0" applyNumberFormat="1" applyFont="1" applyBorder="1" applyAlignment="1">
      <alignment shrinkToFit="1"/>
    </xf>
    <xf numFmtId="167" fontId="2" fillId="0" borderId="32" xfId="0" applyNumberFormat="1" applyFont="1" applyBorder="1" applyAlignment="1">
      <alignment shrinkToFit="1"/>
    </xf>
    <xf numFmtId="167" fontId="32" fillId="0" borderId="31" xfId="0" applyNumberFormat="1" applyFont="1" applyBorder="1"/>
    <xf numFmtId="0" fontId="0" fillId="0" borderId="33" xfId="0" applyBorder="1"/>
    <xf numFmtId="0" fontId="0" fillId="0" borderId="31" xfId="0" applyBorder="1"/>
    <xf numFmtId="0" fontId="0" fillId="0" borderId="34" xfId="0" applyBorder="1"/>
    <xf numFmtId="3" fontId="0" fillId="11" borderId="35" xfId="0" applyNumberFormat="1" applyFill="1" applyBorder="1"/>
    <xf numFmtId="3" fontId="0" fillId="11" borderId="36" xfId="0" applyNumberFormat="1" applyFill="1" applyBorder="1"/>
    <xf numFmtId="170" fontId="0" fillId="0" borderId="8" xfId="2" applyNumberFormat="1" applyFont="1" applyBorder="1"/>
    <xf numFmtId="0" fontId="2" fillId="0" borderId="17" xfId="0" applyFont="1" applyBorder="1"/>
    <xf numFmtId="170" fontId="2" fillId="0" borderId="18" xfId="0" applyNumberFormat="1" applyFont="1" applyBorder="1"/>
    <xf numFmtId="170" fontId="2" fillId="0" borderId="19" xfId="0" applyNumberFormat="1" applyFont="1" applyBorder="1"/>
    <xf numFmtId="0" fontId="12" fillId="0" borderId="0" xfId="0" quotePrefix="1" applyFont="1" applyBorder="1"/>
    <xf numFmtId="3" fontId="0" fillId="0" borderId="0" xfId="0" applyNumberFormat="1"/>
    <xf numFmtId="2" fontId="12" fillId="10" borderId="37" xfId="0" applyNumberFormat="1" applyFont="1" applyFill="1" applyBorder="1"/>
    <xf numFmtId="2" fontId="12" fillId="10" borderId="38" xfId="0" applyNumberFormat="1" applyFont="1" applyFill="1" applyBorder="1"/>
    <xf numFmtId="9" fontId="55" fillId="0" borderId="39" xfId="2" applyFont="1" applyBorder="1"/>
    <xf numFmtId="0" fontId="55" fillId="0" borderId="39" xfId="0" applyFont="1" applyBorder="1"/>
    <xf numFmtId="3" fontId="0" fillId="13" borderId="40" xfId="0" applyNumberFormat="1" applyFill="1" applyBorder="1"/>
    <xf numFmtId="3" fontId="12" fillId="5" borderId="41" xfId="0" applyNumberFormat="1" applyFont="1" applyFill="1" applyBorder="1"/>
    <xf numFmtId="3" fontId="0" fillId="13" borderId="42" xfId="0" applyNumberFormat="1" applyFill="1" applyBorder="1"/>
    <xf numFmtId="3" fontId="12" fillId="5" borderId="43" xfId="0" applyNumberFormat="1" applyFont="1" applyFill="1" applyBorder="1"/>
    <xf numFmtId="3" fontId="0" fillId="13" borderId="44" xfId="0" applyNumberFormat="1" applyFill="1" applyBorder="1"/>
    <xf numFmtId="3" fontId="12" fillId="5" borderId="45" xfId="0" applyNumberFormat="1" applyFont="1" applyFill="1" applyBorder="1"/>
    <xf numFmtId="0" fontId="5" fillId="0" borderId="0" xfId="0" applyNumberFormat="1" applyFont="1" applyFill="1" applyBorder="1"/>
    <xf numFmtId="0" fontId="17" fillId="0" borderId="0" xfId="0" applyFont="1" applyFill="1"/>
    <xf numFmtId="0" fontId="33" fillId="0" borderId="0" xfId="0" applyFont="1" applyAlignment="1"/>
    <xf numFmtId="0" fontId="7" fillId="0" borderId="0" xfId="0" applyFont="1" applyAlignment="1"/>
    <xf numFmtId="0" fontId="19" fillId="0" borderId="0" xfId="0" applyFont="1" applyAlignment="1"/>
    <xf numFmtId="0" fontId="57" fillId="0" borderId="0" xfId="0" applyFont="1" applyBorder="1" applyAlignment="1">
      <alignment horizontal="center"/>
    </xf>
    <xf numFmtId="0" fontId="58" fillId="0" borderId="0" xfId="0" applyFont="1" applyAlignment="1"/>
    <xf numFmtId="9" fontId="58" fillId="0" borderId="1" xfId="2" applyFont="1" applyBorder="1" applyProtection="1">
      <protection locked="0"/>
    </xf>
    <xf numFmtId="0" fontId="13" fillId="0" borderId="46" xfId="0" applyFont="1" applyBorder="1" applyAlignment="1">
      <alignment horizontal="center"/>
    </xf>
    <xf numFmtId="0" fontId="13" fillId="0" borderId="47" xfId="0" applyFont="1" applyBorder="1" applyAlignment="1">
      <alignment horizontal="center"/>
    </xf>
    <xf numFmtId="2" fontId="12" fillId="0" borderId="46" xfId="0" quotePrefix="1" applyNumberFormat="1" applyFont="1" applyBorder="1"/>
    <xf numFmtId="2" fontId="12" fillId="0" borderId="47" xfId="0" applyNumberFormat="1" applyFont="1" applyBorder="1"/>
    <xf numFmtId="2" fontId="12" fillId="0" borderId="48" xfId="0" quotePrefix="1" applyNumberFormat="1" applyFont="1" applyBorder="1"/>
    <xf numFmtId="2" fontId="12" fillId="0" borderId="49" xfId="0" applyNumberFormat="1" applyFont="1" applyBorder="1"/>
    <xf numFmtId="0" fontId="20" fillId="0" borderId="46" xfId="0" applyFont="1" applyBorder="1" applyAlignment="1">
      <alignment horizontal="center"/>
    </xf>
    <xf numFmtId="0" fontId="20" fillId="0" borderId="47" xfId="0" applyFont="1" applyBorder="1" applyAlignment="1">
      <alignment horizontal="center"/>
    </xf>
    <xf numFmtId="0" fontId="12" fillId="0" borderId="46" xfId="0" quotePrefix="1" applyFont="1" applyBorder="1"/>
    <xf numFmtId="0" fontId="0" fillId="0" borderId="47" xfId="0" applyBorder="1"/>
    <xf numFmtId="0" fontId="12" fillId="0" borderId="48" xfId="0" quotePrefix="1" applyFont="1" applyBorder="1"/>
    <xf numFmtId="0" fontId="12" fillId="0" borderId="50" xfId="0" quotePrefix="1" applyFont="1" applyBorder="1"/>
    <xf numFmtId="0" fontId="0" fillId="0" borderId="49" xfId="0" applyBorder="1"/>
    <xf numFmtId="0" fontId="35" fillId="5" borderId="51" xfId="0" applyFont="1" applyFill="1" applyBorder="1"/>
    <xf numFmtId="9" fontId="58" fillId="0" borderId="52" xfId="2" applyFont="1" applyBorder="1" applyProtection="1">
      <protection locked="0"/>
    </xf>
    <xf numFmtId="170" fontId="0" fillId="0" borderId="1" xfId="2" applyNumberFormat="1" applyFont="1" applyBorder="1" applyAlignment="1" applyProtection="1">
      <alignment horizontal="center"/>
      <protection locked="0"/>
    </xf>
    <xf numFmtId="168" fontId="58" fillId="0" borderId="1" xfId="0" applyNumberFormat="1" applyFont="1" applyBorder="1" applyProtection="1">
      <protection locked="0"/>
    </xf>
    <xf numFmtId="0" fontId="17" fillId="0" borderId="53" xfId="0" applyFont="1" applyBorder="1" applyAlignment="1">
      <alignment horizontal="center"/>
    </xf>
    <xf numFmtId="165" fontId="12" fillId="16" borderId="0" xfId="0" applyNumberFormat="1" applyFont="1" applyFill="1"/>
    <xf numFmtId="2" fontId="12" fillId="16" borderId="0" xfId="0" applyNumberFormat="1" applyFont="1" applyFill="1"/>
    <xf numFmtId="1" fontId="12" fillId="16" borderId="0" xfId="0" applyNumberFormat="1" applyFont="1" applyFill="1"/>
    <xf numFmtId="0" fontId="2" fillId="0" borderId="14" xfId="0" applyFont="1" applyFill="1" applyBorder="1"/>
    <xf numFmtId="0" fontId="59" fillId="0" borderId="0" xfId="0" applyFont="1"/>
    <xf numFmtId="0" fontId="13" fillId="0" borderId="0" xfId="0" applyFont="1" applyAlignment="1">
      <alignment shrinkToFit="1"/>
    </xf>
    <xf numFmtId="0" fontId="12" fillId="7" borderId="4" xfId="0" applyFont="1" applyFill="1" applyBorder="1"/>
    <xf numFmtId="0" fontId="0" fillId="7" borderId="0" xfId="0" applyFill="1" applyBorder="1"/>
    <xf numFmtId="0" fontId="5" fillId="0" borderId="0" xfId="0" quotePrefix="1" applyNumberFormat="1" applyFont="1" applyFill="1" applyBorder="1"/>
    <xf numFmtId="1" fontId="5" fillId="8" borderId="4" xfId="0" applyNumberFormat="1" applyFont="1" applyFill="1" applyBorder="1"/>
    <xf numFmtId="1" fontId="5" fillId="8" borderId="0" xfId="0" applyNumberFormat="1" applyFont="1" applyFill="1" applyBorder="1"/>
    <xf numFmtId="0" fontId="5" fillId="8" borderId="0" xfId="0" quotePrefix="1" applyNumberFormat="1" applyFont="1" applyFill="1" applyBorder="1"/>
    <xf numFmtId="1" fontId="5" fillId="8" borderId="0" xfId="0" applyNumberFormat="1" applyFont="1" applyFill="1"/>
    <xf numFmtId="0" fontId="5" fillId="8" borderId="0" xfId="0" applyNumberFormat="1" applyFont="1" applyFill="1" applyBorder="1"/>
    <xf numFmtId="9" fontId="58" fillId="10" borderId="54" xfId="2" applyFont="1" applyFill="1" applyBorder="1" applyAlignment="1">
      <alignment horizontal="center"/>
    </xf>
    <xf numFmtId="167" fontId="2" fillId="0" borderId="1" xfId="1" applyNumberFormat="1" applyFont="1" applyFill="1" applyBorder="1"/>
    <xf numFmtId="2" fontId="0" fillId="10" borderId="0" xfId="0" applyNumberFormat="1" applyFill="1"/>
    <xf numFmtId="167" fontId="0" fillId="10" borderId="0" xfId="0" applyNumberFormat="1" applyFill="1"/>
    <xf numFmtId="165" fontId="12" fillId="11" borderId="0" xfId="0" applyNumberFormat="1" applyFont="1" applyFill="1" applyBorder="1"/>
    <xf numFmtId="165" fontId="12" fillId="11" borderId="0" xfId="0" applyNumberFormat="1" applyFont="1" applyFill="1"/>
    <xf numFmtId="2" fontId="12" fillId="11" borderId="0" xfId="0" applyNumberFormat="1" applyFont="1" applyFill="1" applyBorder="1"/>
    <xf numFmtId="2" fontId="12" fillId="11" borderId="0" xfId="0" applyNumberFormat="1" applyFont="1" applyFill="1"/>
    <xf numFmtId="1" fontId="12" fillId="11" borderId="4" xfId="0" applyNumberFormat="1" applyFont="1" applyFill="1" applyBorder="1"/>
    <xf numFmtId="0" fontId="0" fillId="0" borderId="0" xfId="0" applyFill="1" applyAlignment="1"/>
    <xf numFmtId="0" fontId="12" fillId="0" borderId="0" xfId="0" applyFont="1" applyBorder="1"/>
    <xf numFmtId="4" fontId="0" fillId="0" borderId="0" xfId="0" applyNumberFormat="1" applyBorder="1"/>
    <xf numFmtId="0" fontId="2" fillId="9" borderId="0" xfId="0" applyFont="1" applyFill="1"/>
    <xf numFmtId="14" fontId="29" fillId="9" borderId="0" xfId="0" applyNumberFormat="1" applyFont="1" applyFill="1"/>
    <xf numFmtId="1" fontId="23" fillId="9" borderId="0" xfId="0" applyNumberFormat="1" applyFont="1" applyFill="1"/>
    <xf numFmtId="9" fontId="53" fillId="0" borderId="1" xfId="2" applyFont="1" applyFill="1" applyBorder="1" applyAlignment="1">
      <alignment horizontal="center"/>
    </xf>
    <xf numFmtId="0" fontId="0" fillId="2" borderId="52" xfId="0" applyFill="1" applyBorder="1"/>
    <xf numFmtId="0" fontId="0" fillId="2" borderId="55" xfId="0" applyFill="1" applyBorder="1"/>
    <xf numFmtId="0" fontId="0" fillId="2" borderId="56" xfId="0" applyFill="1" applyBorder="1"/>
    <xf numFmtId="167" fontId="2" fillId="0" borderId="1" xfId="1" applyNumberFormat="1" applyFont="1" applyBorder="1"/>
    <xf numFmtId="165" fontId="0" fillId="9" borderId="0" xfId="0" applyNumberFormat="1" applyFill="1" applyBorder="1"/>
    <xf numFmtId="2" fontId="0" fillId="9" borderId="0" xfId="0" applyNumberFormat="1" applyFill="1" applyBorder="1"/>
    <xf numFmtId="1" fontId="0" fillId="8" borderId="0" xfId="0" applyNumberFormat="1" applyFill="1"/>
    <xf numFmtId="0" fontId="53" fillId="0" borderId="0" xfId="0" applyFont="1" applyAlignment="1">
      <alignment horizontal="right"/>
    </xf>
    <xf numFmtId="0" fontId="53" fillId="0" borderId="0" xfId="0" applyFont="1" applyAlignment="1">
      <alignment horizontal="left"/>
    </xf>
    <xf numFmtId="167" fontId="0" fillId="8" borderId="0" xfId="1" applyNumberFormat="1" applyFont="1" applyFill="1"/>
    <xf numFmtId="167" fontId="63" fillId="0" borderId="0" xfId="1" applyNumberFormat="1" applyFont="1" applyFill="1" applyBorder="1"/>
    <xf numFmtId="0" fontId="12" fillId="0" borderId="3" xfId="0" applyFont="1" applyFill="1" applyBorder="1"/>
    <xf numFmtId="167" fontId="63" fillId="0" borderId="13" xfId="1" applyNumberFormat="1" applyFont="1" applyFill="1" applyBorder="1"/>
    <xf numFmtId="0" fontId="9" fillId="0" borderId="15" xfId="0" applyFont="1" applyFill="1" applyBorder="1" applyAlignment="1">
      <alignment horizontal="left"/>
    </xf>
    <xf numFmtId="0" fontId="9" fillId="0" borderId="0" xfId="0" applyFont="1" applyFill="1" applyBorder="1" applyAlignment="1">
      <alignment horizontal="left"/>
    </xf>
    <xf numFmtId="0" fontId="2" fillId="0" borderId="9" xfId="0" applyFont="1" applyFill="1" applyBorder="1"/>
    <xf numFmtId="0" fontId="5" fillId="0" borderId="3" xfId="0" applyFont="1" applyFill="1" applyBorder="1"/>
    <xf numFmtId="0" fontId="9" fillId="0" borderId="3" xfId="0" applyFont="1" applyFill="1" applyBorder="1" applyAlignment="1">
      <alignment horizontal="left"/>
    </xf>
    <xf numFmtId="167" fontId="32" fillId="0" borderId="13" xfId="0" applyNumberFormat="1" applyFont="1" applyBorder="1"/>
    <xf numFmtId="0" fontId="32" fillId="0" borderId="13" xfId="0" applyFont="1" applyBorder="1"/>
    <xf numFmtId="9" fontId="0" fillId="0" borderId="25" xfId="2" quotePrefix="1" applyNumberFormat="1" applyFont="1" applyBorder="1" applyAlignment="1">
      <alignment horizontal="right"/>
    </xf>
    <xf numFmtId="9" fontId="0" fillId="0" borderId="32" xfId="2" applyNumberFormat="1" applyFont="1" applyBorder="1" applyAlignment="1">
      <alignment horizontal="right"/>
    </xf>
    <xf numFmtId="0" fontId="35" fillId="0" borderId="0" xfId="0" applyFont="1"/>
    <xf numFmtId="0" fontId="53" fillId="0" borderId="0" xfId="0" applyFont="1"/>
    <xf numFmtId="0" fontId="12" fillId="0" borderId="0" xfId="0" applyFont="1" applyFill="1" applyBorder="1" applyAlignment="1">
      <alignment horizontal="right"/>
    </xf>
    <xf numFmtId="0" fontId="0" fillId="0" borderId="0" xfId="0" applyFill="1" applyBorder="1" applyAlignment="1">
      <alignment horizontal="right"/>
    </xf>
    <xf numFmtId="0" fontId="9" fillId="0" borderId="0" xfId="0" applyFont="1" applyFill="1" applyBorder="1" applyAlignment="1">
      <alignment horizontal="right"/>
    </xf>
    <xf numFmtId="0" fontId="9" fillId="0" borderId="3" xfId="0" applyFont="1" applyFill="1" applyBorder="1" applyAlignment="1">
      <alignment horizontal="right"/>
    </xf>
    <xf numFmtId="167" fontId="64" fillId="0" borderId="13" xfId="1" applyNumberFormat="1" applyFont="1" applyFill="1" applyBorder="1"/>
    <xf numFmtId="167" fontId="29" fillId="0" borderId="13" xfId="0" applyNumberFormat="1" applyFont="1" applyBorder="1"/>
    <xf numFmtId="1" fontId="12" fillId="0" borderId="0" xfId="0" quotePrefix="1" applyNumberFormat="1" applyFont="1"/>
    <xf numFmtId="9" fontId="12" fillId="0" borderId="0" xfId="0" applyNumberFormat="1" applyFont="1" applyAlignment="1">
      <alignment horizontal="center"/>
    </xf>
    <xf numFmtId="0" fontId="5" fillId="0" borderId="0" xfId="0" applyFont="1" applyAlignment="1">
      <alignment vertical="justify" wrapText="1"/>
    </xf>
    <xf numFmtId="0" fontId="30" fillId="0" borderId="4" xfId="0" applyFont="1" applyBorder="1"/>
    <xf numFmtId="0" fontId="30" fillId="0" borderId="10" xfId="0" applyFont="1" applyBorder="1"/>
    <xf numFmtId="3" fontId="2" fillId="13" borderId="57" xfId="0" applyNumberFormat="1" applyFont="1" applyFill="1" applyBorder="1"/>
    <xf numFmtId="3" fontId="2" fillId="13" borderId="58" xfId="0" applyNumberFormat="1" applyFont="1" applyFill="1" applyBorder="1"/>
    <xf numFmtId="3" fontId="2" fillId="13" borderId="59" xfId="0" applyNumberFormat="1" applyFont="1" applyFill="1" applyBorder="1"/>
    <xf numFmtId="3" fontId="2" fillId="5" borderId="40" xfId="0" applyNumberFormat="1" applyFont="1" applyFill="1" applyBorder="1"/>
    <xf numFmtId="3" fontId="2" fillId="5" borderId="42" xfId="0" applyNumberFormat="1" applyFont="1" applyFill="1" applyBorder="1"/>
    <xf numFmtId="3" fontId="2" fillId="5" borderId="60" xfId="0" applyNumberFormat="1" applyFont="1" applyFill="1" applyBorder="1"/>
    <xf numFmtId="2" fontId="2" fillId="10" borderId="61" xfId="0" applyNumberFormat="1" applyFont="1" applyFill="1" applyBorder="1"/>
    <xf numFmtId="2" fontId="2" fillId="10" borderId="62" xfId="0" applyNumberFormat="1" applyFont="1" applyFill="1" applyBorder="1"/>
    <xf numFmtId="0" fontId="65" fillId="0" borderId="0" xfId="0" applyFont="1"/>
    <xf numFmtId="0" fontId="66" fillId="0" borderId="0" xfId="0" applyFont="1"/>
    <xf numFmtId="0" fontId="65" fillId="0" borderId="0" xfId="0" applyFont="1" applyAlignment="1"/>
    <xf numFmtId="0" fontId="1" fillId="0" borderId="4" xfId="0" applyFont="1" applyBorder="1"/>
    <xf numFmtId="0" fontId="1" fillId="0" borderId="0" xfId="0" applyFont="1" applyBorder="1"/>
    <xf numFmtId="0" fontId="1" fillId="0" borderId="8" xfId="0" applyFont="1" applyBorder="1"/>
    <xf numFmtId="0" fontId="1" fillId="0" borderId="0" xfId="0" applyFont="1" applyFill="1" applyBorder="1"/>
    <xf numFmtId="8" fontId="1" fillId="0" borderId="0" xfId="0" applyNumberFormat="1" applyFont="1" applyFill="1"/>
    <xf numFmtId="0" fontId="1" fillId="8" borderId="4" xfId="0" applyFont="1" applyFill="1" applyBorder="1"/>
    <xf numFmtId="0" fontId="1" fillId="8" borderId="0" xfId="0" applyFont="1" applyFill="1" applyBorder="1"/>
    <xf numFmtId="0" fontId="1" fillId="8" borderId="8" xfId="0" applyFont="1" applyFill="1" applyBorder="1"/>
    <xf numFmtId="8" fontId="1" fillId="8" borderId="0" xfId="0" applyNumberFormat="1" applyFont="1" applyFill="1"/>
    <xf numFmtId="0" fontId="1" fillId="0" borderId="0" xfId="0" applyFont="1"/>
    <xf numFmtId="8" fontId="1" fillId="0" borderId="0" xfId="0" applyNumberFormat="1" applyFont="1"/>
    <xf numFmtId="0" fontId="1" fillId="0" borderId="0" xfId="0" applyFont="1" applyFill="1"/>
    <xf numFmtId="0" fontId="1" fillId="0" borderId="0" xfId="0" applyNumberFormat="1" applyFont="1" applyFill="1"/>
    <xf numFmtId="0" fontId="1" fillId="0" borderId="4" xfId="0" applyFont="1" applyFill="1" applyBorder="1"/>
    <xf numFmtId="0" fontId="1" fillId="0" borderId="8" xfId="0" applyFont="1" applyFill="1" applyBorder="1"/>
    <xf numFmtId="0" fontId="1" fillId="8" borderId="0" xfId="0" applyFont="1" applyFill="1"/>
    <xf numFmtId="1" fontId="1" fillId="11" borderId="4" xfId="0" applyNumberFormat="1" applyFont="1" applyFill="1" applyBorder="1"/>
    <xf numFmtId="2" fontId="1" fillId="11" borderId="0" xfId="0" applyNumberFormat="1" applyFont="1" applyFill="1"/>
    <xf numFmtId="165" fontId="1" fillId="11" borderId="0" xfId="0" applyNumberFormat="1" applyFont="1" applyFill="1"/>
    <xf numFmtId="2" fontId="1" fillId="11" borderId="0" xfId="0" applyNumberFormat="1" applyFont="1" applyFill="1" applyBorder="1"/>
    <xf numFmtId="165" fontId="1" fillId="11" borderId="0" xfId="0" applyNumberFormat="1" applyFont="1" applyFill="1" applyBorder="1"/>
    <xf numFmtId="0" fontId="2" fillId="9" borderId="2" xfId="0" applyFont="1" applyFill="1" applyBorder="1"/>
    <xf numFmtId="0" fontId="2" fillId="9" borderId="16" xfId="0" applyFont="1" applyFill="1" applyBorder="1"/>
    <xf numFmtId="0" fontId="0" fillId="0" borderId="14" xfId="0" applyBorder="1"/>
    <xf numFmtId="0" fontId="0" fillId="0" borderId="64" xfId="0" applyBorder="1"/>
    <xf numFmtId="9" fontId="2" fillId="0" borderId="8" xfId="2" applyNumberFormat="1" applyFont="1" applyBorder="1" applyAlignment="1">
      <alignment horizontal="right"/>
    </xf>
    <xf numFmtId="9" fontId="2" fillId="0" borderId="11" xfId="2" applyNumberFormat="1" applyFont="1" applyBorder="1" applyAlignment="1">
      <alignment horizontal="right"/>
    </xf>
    <xf numFmtId="9" fontId="2" fillId="0" borderId="8" xfId="2" applyFont="1" applyBorder="1" applyAlignment="1">
      <alignment horizontal="right"/>
    </xf>
    <xf numFmtId="0" fontId="17" fillId="0" borderId="63" xfId="0" applyFont="1" applyBorder="1" applyAlignment="1">
      <alignment horizontal="center"/>
    </xf>
    <xf numFmtId="0" fontId="17" fillId="0" borderId="15" xfId="0" applyFont="1" applyBorder="1" applyAlignment="1">
      <alignment horizontal="center"/>
    </xf>
    <xf numFmtId="0" fontId="17" fillId="0" borderId="53" xfId="0" applyFont="1" applyBorder="1" applyAlignment="1">
      <alignment horizontal="center"/>
    </xf>
    <xf numFmtId="0" fontId="17" fillId="0" borderId="69" xfId="0" applyFont="1" applyBorder="1" applyAlignment="1">
      <alignment horizontal="center"/>
    </xf>
    <xf numFmtId="0" fontId="17" fillId="0" borderId="70" xfId="0" applyFont="1" applyBorder="1" applyAlignment="1">
      <alignment horizontal="center"/>
    </xf>
    <xf numFmtId="0" fontId="17" fillId="0" borderId="71" xfId="0" applyFont="1" applyBorder="1" applyAlignment="1">
      <alignment horizontal="center"/>
    </xf>
    <xf numFmtId="0" fontId="17" fillId="4" borderId="5" xfId="0" applyFont="1" applyFill="1" applyBorder="1" applyAlignment="1">
      <alignment horizontal="center"/>
    </xf>
    <xf numFmtId="0" fontId="17" fillId="4" borderId="6" xfId="0" applyFont="1" applyFill="1" applyBorder="1" applyAlignment="1">
      <alignment horizontal="center"/>
    </xf>
    <xf numFmtId="0" fontId="17" fillId="4" borderId="7" xfId="0" applyFont="1" applyFill="1" applyBorder="1" applyAlignment="1">
      <alignment horizontal="center"/>
    </xf>
    <xf numFmtId="0" fontId="17" fillId="3" borderId="17" xfId="0" applyFont="1" applyFill="1" applyBorder="1" applyAlignment="1">
      <alignment horizontal="center"/>
    </xf>
    <xf numFmtId="0" fontId="17" fillId="3" borderId="18" xfId="0" applyFont="1" applyFill="1" applyBorder="1" applyAlignment="1">
      <alignment horizontal="center"/>
    </xf>
    <xf numFmtId="0" fontId="17" fillId="3" borderId="19" xfId="0" applyFont="1" applyFill="1" applyBorder="1" applyAlignment="1">
      <alignment horizontal="center"/>
    </xf>
    <xf numFmtId="0" fontId="17" fillId="15" borderId="65" xfId="0" applyFont="1" applyFill="1" applyBorder="1" applyAlignment="1">
      <alignment horizontal="center"/>
    </xf>
    <xf numFmtId="0" fontId="17" fillId="15" borderId="66" xfId="0" applyFont="1" applyFill="1" applyBorder="1" applyAlignment="1">
      <alignment horizontal="center"/>
    </xf>
    <xf numFmtId="0" fontId="17" fillId="15" borderId="67" xfId="0" applyFont="1" applyFill="1" applyBorder="1" applyAlignment="1">
      <alignment horizontal="center"/>
    </xf>
    <xf numFmtId="0" fontId="17" fillId="3" borderId="2" xfId="0" applyFont="1" applyFill="1" applyBorder="1" applyAlignment="1">
      <alignment horizontal="center"/>
    </xf>
    <xf numFmtId="0" fontId="17" fillId="3" borderId="15" xfId="0" applyFont="1" applyFill="1" applyBorder="1" applyAlignment="1">
      <alignment horizontal="center"/>
    </xf>
    <xf numFmtId="0" fontId="17" fillId="3" borderId="16" xfId="0" applyFont="1" applyFill="1" applyBorder="1" applyAlignment="1">
      <alignment horizontal="center"/>
    </xf>
    <xf numFmtId="0" fontId="9" fillId="15" borderId="68" xfId="0" applyFont="1" applyFill="1" applyBorder="1" applyAlignment="1">
      <alignment horizontal="center"/>
    </xf>
    <xf numFmtId="0" fontId="9" fillId="15" borderId="18" xfId="0" applyFont="1" applyFill="1" applyBorder="1" applyAlignment="1">
      <alignment horizontal="center"/>
    </xf>
    <xf numFmtId="0" fontId="9" fillId="15" borderId="19" xfId="0" applyFont="1" applyFill="1" applyBorder="1" applyAlignment="1">
      <alignment horizontal="center"/>
    </xf>
    <xf numFmtId="167" fontId="2" fillId="0" borderId="9" xfId="0" applyNumberFormat="1" applyFont="1" applyFill="1" applyBorder="1" applyAlignment="1"/>
    <xf numFmtId="0" fontId="5" fillId="0" borderId="64" xfId="0" applyFont="1" applyFill="1" applyBorder="1" applyAlignment="1"/>
    <xf numFmtId="167" fontId="2" fillId="0" borderId="9" xfId="0" applyNumberFormat="1" applyFont="1" applyFill="1" applyBorder="1" applyAlignment="1">
      <alignment horizontal="right"/>
    </xf>
    <xf numFmtId="0" fontId="5" fillId="0" borderId="64" xfId="0" applyFont="1" applyFill="1" applyBorder="1" applyAlignment="1">
      <alignment horizontal="right"/>
    </xf>
    <xf numFmtId="0" fontId="0" fillId="0" borderId="0" xfId="0" applyAlignment="1"/>
    <xf numFmtId="0" fontId="0" fillId="0" borderId="0" xfId="0"/>
    <xf numFmtId="0" fontId="0" fillId="0" borderId="0" xfId="0" applyFill="1" applyAlignment="1"/>
    <xf numFmtId="0" fontId="1" fillId="0" borderId="0" xfId="0" applyFont="1" applyFill="1" applyAlignment="1"/>
    <xf numFmtId="0" fontId="13" fillId="0" borderId="0" xfId="0" applyFont="1" applyAlignment="1">
      <alignment horizontal="center"/>
    </xf>
    <xf numFmtId="0" fontId="13" fillId="11" borderId="0" xfId="0" applyFont="1" applyFill="1" applyAlignment="1">
      <alignment horizontal="center"/>
    </xf>
    <xf numFmtId="0" fontId="13" fillId="11" borderId="0" xfId="0" applyFont="1" applyFill="1" applyBorder="1" applyAlignment="1">
      <alignment horizontal="center"/>
    </xf>
    <xf numFmtId="0" fontId="13" fillId="10" borderId="0" xfId="0" applyFont="1" applyFill="1" applyAlignment="1">
      <alignment horizontal="center"/>
    </xf>
    <xf numFmtId="0" fontId="13" fillId="11" borderId="4" xfId="0" applyFont="1" applyFill="1" applyBorder="1" applyAlignment="1">
      <alignment horizontal="center"/>
    </xf>
    <xf numFmtId="0" fontId="53" fillId="0" borderId="0" xfId="0" applyFont="1" applyAlignment="1">
      <alignment horizontal="center" shrinkToFit="1"/>
    </xf>
    <xf numFmtId="0" fontId="33" fillId="0" borderId="72" xfId="0" applyFont="1" applyFill="1" applyBorder="1" applyAlignment="1">
      <alignment horizontal="center"/>
    </xf>
    <xf numFmtId="0" fontId="33" fillId="0" borderId="73" xfId="0" applyFont="1" applyFill="1" applyBorder="1" applyAlignment="1">
      <alignment horizontal="center"/>
    </xf>
    <xf numFmtId="0" fontId="53" fillId="0" borderId="0" xfId="0" applyFont="1" applyAlignment="1">
      <alignment shrinkToFit="1"/>
    </xf>
    <xf numFmtId="0" fontId="53" fillId="0" borderId="0" xfId="0" applyFont="1" applyAlignment="1"/>
    <xf numFmtId="0" fontId="33" fillId="0" borderId="74" xfId="0" applyFont="1" applyFill="1" applyBorder="1" applyAlignment="1">
      <alignment horizontal="center"/>
    </xf>
    <xf numFmtId="0" fontId="5" fillId="0" borderId="0" xfId="0" applyFont="1" applyAlignment="1">
      <alignment vertical="justify" wrapText="1"/>
    </xf>
    <xf numFmtId="0" fontId="5" fillId="0" borderId="0" xfId="0" applyFont="1" applyAlignment="1"/>
  </cellXfs>
  <cellStyles count="3">
    <cellStyle name="Comma" xfId="1" builtinId="3"/>
    <cellStyle name="Normal" xfId="0" builtinId="0"/>
    <cellStyle name="Percent" xfId="2" builtinId="5"/>
  </cellStyles>
  <dxfs count="6">
    <dxf>
      <font>
        <b/>
        <i/>
        <condense val="0"/>
        <extend val="0"/>
      </font>
    </dxf>
    <dxf>
      <font>
        <b/>
        <i val="0"/>
        <condense val="0"/>
        <extend val="0"/>
      </font>
    </dxf>
    <dxf>
      <font>
        <b/>
        <i val="0"/>
        <condense val="0"/>
        <extend val="0"/>
      </font>
    </dxf>
    <dxf>
      <font>
        <b/>
        <i val="0"/>
        <condense val="0"/>
        <extend val="0"/>
      </font>
    </dxf>
    <dxf>
      <font>
        <b val="0"/>
        <i/>
        <condense val="0"/>
        <extend val="0"/>
      </font>
    </dxf>
    <dxf>
      <font>
        <b val="0"/>
        <i/>
        <condense val="0"/>
        <extend val="0"/>
      </font>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fmlaLink="Tables!$B$48" lockText="1" noThreeD="1"/>
</file>

<file path=xl/ctrlProps/ctrlProp2.xml><?xml version="1.0" encoding="utf-8"?>
<formControlPr xmlns="http://schemas.microsoft.com/office/spreadsheetml/2009/9/main" objectType="Drop" dropLines="12" dropStyle="combo" dx="16" fmlaLink="Tables!$B$5" fmlaRange="Tables!$B$6:$C$17" sel="8" val="0"/>
</file>

<file path=xl/ctrlProps/ctrlProp3.xml><?xml version="1.0" encoding="utf-8"?>
<formControlPr xmlns="http://schemas.microsoft.com/office/spreadsheetml/2009/9/main" objectType="Drop" dropLines="2" dropStyle="combo" dx="16" fmlaLink="Tables!$G$47" fmlaRange="Tables!$G$48:$G$49" val="0"/>
</file>

<file path=xl/ctrlProps/ctrlProp4.xml><?xml version="1.0" encoding="utf-8"?>
<formControlPr xmlns="http://schemas.microsoft.com/office/spreadsheetml/2009/9/main" objectType="Drop" dropStyle="combo" dx="16" fmlaLink="Tables!$O$40" fmlaRange="Tables!$M$40:$M$45" val="0"/>
</file>

<file path=xl/ctrlProps/ctrlProp5.xml><?xml version="1.0" encoding="utf-8"?>
<formControlPr xmlns="http://schemas.microsoft.com/office/spreadsheetml/2009/9/main" objectType="CheckBox" checked="Checked" fmlaLink="Tables!$G$52" lockText="1" noThreeD="1"/>
</file>

<file path=xl/ctrlProps/ctrlProp6.xml><?xml version="1.0" encoding="utf-8"?>
<formControlPr xmlns="http://schemas.microsoft.com/office/spreadsheetml/2009/9/main" objectType="CheckBox" checked="Checked" fmlaLink="Tables!$B$42" lockText="1" noThreeD="1"/>
</file>

<file path=xl/ctrlProps/ctrlProp7.xml><?xml version="1.0" encoding="utf-8"?>
<formControlPr xmlns="http://schemas.microsoft.com/office/spreadsheetml/2009/9/main" objectType="Drop" dropLines="2" dropStyle="combo" dx="16" fmlaLink="Tables!$G$41" fmlaRange="Tables!$G$42:$H$4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26</xdr:row>
          <xdr:rowOff>127000</xdr:rowOff>
        </xdr:from>
        <xdr:to>
          <xdr:col>11</xdr:col>
          <xdr:colOff>0</xdr:colOff>
          <xdr:row>28</xdr:row>
          <xdr:rowOff>38100</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mr-IN"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0</xdr:rowOff>
        </xdr:from>
        <xdr:to>
          <xdr:col>5</xdr:col>
          <xdr:colOff>571500</xdr:colOff>
          <xdr:row>4</xdr:row>
          <xdr:rowOff>38100</xdr:rowOff>
        </xdr:to>
        <xdr:sp macro="" textlink="">
          <xdr:nvSpPr>
            <xdr:cNvPr id="1027" name="Drop Down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5</xdr:col>
          <xdr:colOff>571500</xdr:colOff>
          <xdr:row>6</xdr:row>
          <xdr:rowOff>38100</xdr:rowOff>
        </xdr:to>
        <xdr:sp macro="" textlink="">
          <xdr:nvSpPr>
            <xdr:cNvPr id="1033" name="Drop Down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xdr:twoCellAnchor>
    <xdr:from>
      <xdr:col>3</xdr:col>
      <xdr:colOff>355600</xdr:colOff>
      <xdr:row>10</xdr:row>
      <xdr:rowOff>0</xdr:rowOff>
    </xdr:from>
    <xdr:to>
      <xdr:col>4</xdr:col>
      <xdr:colOff>0</xdr:colOff>
      <xdr:row>10</xdr:row>
      <xdr:rowOff>127000</xdr:rowOff>
    </xdr:to>
    <xdr:sp macro="" textlink="">
      <xdr:nvSpPr>
        <xdr:cNvPr id="1035" name="AutoShape 11"/>
        <xdr:cNvSpPr>
          <a:spLocks noChangeArrowheads="1"/>
        </xdr:cNvSpPr>
      </xdr:nvSpPr>
      <xdr:spPr bwMode="auto">
        <a:xfrm>
          <a:off x="2794000" y="1485900"/>
          <a:ext cx="457200" cy="127000"/>
        </a:xfrm>
        <a:prstGeom prst="rightArrow">
          <a:avLst>
            <a:gd name="adj1" fmla="val 50000"/>
            <a:gd name="adj2" fmla="val 90000"/>
          </a:avLst>
        </a:prstGeom>
        <a:solidFill>
          <a:srgbClr xmlns:mc="http://schemas.openxmlformats.org/markup-compatibility/2006" xmlns:a14="http://schemas.microsoft.com/office/drawing/2010/main" val="FF9900" mc:Ignorable="a14" a14:legacySpreadsheetColorIndex="52"/>
        </a:solidFill>
        <a:ln w="3175">
          <a:solidFill>
            <a:srgbClr val="000000"/>
          </a:solidFill>
          <a:miter lim="800000"/>
          <a:headEnd/>
          <a:tailEnd/>
        </a:ln>
        <a:effectLst>
          <a:outerShdw blurRad="63500" dist="38099" dir="2700000" algn="ctr" rotWithShape="0">
            <a:srgbClr val="000000">
              <a:alpha val="74998"/>
            </a:srgbClr>
          </a:outerShdw>
        </a:effectLst>
        <a:extLst>
          <a:ext uri="{53640926-AAD7-44d8-BBD7-CCE9431645EC}">
            <a14:shadowObscured xmlns:a14="http://schemas.microsoft.com/office/drawing/2010/main" val="1"/>
          </a:ext>
        </a:extLst>
      </xdr:spPr>
      <xdr:txBody>
        <a:bodyPr rtlCol="0"/>
        <a:lstStyle/>
        <a:p>
          <a:pPr algn="ctr"/>
          <a:endParaRPr lang="en-US"/>
        </a:p>
      </xdr:txBody>
    </xdr:sp>
    <xdr:clientData/>
  </xdr:twoCellAnchor>
  <xdr:twoCellAnchor>
    <xdr:from>
      <xdr:col>3</xdr:col>
      <xdr:colOff>406400</xdr:colOff>
      <xdr:row>12</xdr:row>
      <xdr:rowOff>0</xdr:rowOff>
    </xdr:from>
    <xdr:to>
      <xdr:col>4</xdr:col>
      <xdr:colOff>0</xdr:colOff>
      <xdr:row>12</xdr:row>
      <xdr:rowOff>127000</xdr:rowOff>
    </xdr:to>
    <xdr:sp macro="" textlink="">
      <xdr:nvSpPr>
        <xdr:cNvPr id="1039" name="AutoShape 15"/>
        <xdr:cNvSpPr>
          <a:spLocks noChangeArrowheads="1"/>
        </xdr:cNvSpPr>
      </xdr:nvSpPr>
      <xdr:spPr bwMode="auto">
        <a:xfrm>
          <a:off x="2844800" y="1790700"/>
          <a:ext cx="406400" cy="127000"/>
        </a:xfrm>
        <a:prstGeom prst="rightArrow">
          <a:avLst>
            <a:gd name="adj1" fmla="val 50000"/>
            <a:gd name="adj2" fmla="val 80000"/>
          </a:avLst>
        </a:prstGeom>
        <a:solidFill>
          <a:srgbClr xmlns:mc="http://schemas.openxmlformats.org/markup-compatibility/2006" xmlns:a14="http://schemas.microsoft.com/office/drawing/2010/main" val="FF9900" mc:Ignorable="a14" a14:legacySpreadsheetColorIndex="52"/>
        </a:solidFill>
        <a:ln w="3175">
          <a:solidFill>
            <a:srgbClr val="000000"/>
          </a:solidFill>
          <a:miter lim="800000"/>
          <a:headEnd/>
          <a:tailEnd/>
        </a:ln>
        <a:effectLst>
          <a:outerShdw blurRad="63500" dist="38099" dir="2700000" algn="ctr" rotWithShape="0">
            <a:srgbClr val="000000">
              <a:alpha val="74998"/>
            </a:srgbClr>
          </a:outerShdw>
        </a:effectLst>
        <a:extLst>
          <a:ext uri="{53640926-AAD7-44d8-BBD7-CCE9431645EC}">
            <a14:shadowObscured xmlns:a14="http://schemas.microsoft.com/office/drawing/2010/main" val="1"/>
          </a:ext>
        </a:extLst>
      </xdr:spPr>
      <xdr:txBody>
        <a:bodyPr rtlCol="0"/>
        <a:lstStyle/>
        <a:p>
          <a:pPr algn="ctr"/>
          <a:endParaRPr lang="en-US"/>
        </a:p>
      </xdr:txBody>
    </xdr:sp>
    <xdr:clientData/>
  </xdr:twoCellAnchor>
  <mc:AlternateContent xmlns:mc="http://schemas.openxmlformats.org/markup-compatibility/2006">
    <mc:Choice xmlns:a14="http://schemas.microsoft.com/office/drawing/2010/main" Requires="a14">
      <xdr:twoCellAnchor editAs="oneCell">
        <xdr:from>
          <xdr:col>9</xdr:col>
          <xdr:colOff>0</xdr:colOff>
          <xdr:row>3</xdr:row>
          <xdr:rowOff>0</xdr:rowOff>
        </xdr:from>
        <xdr:to>
          <xdr:col>10</xdr:col>
          <xdr:colOff>571500</xdr:colOff>
          <xdr:row>4</xdr:row>
          <xdr:rowOff>50800</xdr:rowOff>
        </xdr:to>
        <xdr:sp macro="" textlink="">
          <xdr:nvSpPr>
            <xdr:cNvPr id="1056" name="Drop Down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xdr:oneCellAnchor>
    <xdr:from>
      <xdr:col>2</xdr:col>
      <xdr:colOff>330200</xdr:colOff>
      <xdr:row>1</xdr:row>
      <xdr:rowOff>0</xdr:rowOff>
    </xdr:from>
    <xdr:ext cx="7785100" cy="177800"/>
    <xdr:sp macro="" textlink="">
      <xdr:nvSpPr>
        <xdr:cNvPr id="1075" name="Text Box 51"/>
        <xdr:cNvSpPr txBox="1">
          <a:spLocks noChangeArrowheads="1"/>
        </xdr:cNvSpPr>
      </xdr:nvSpPr>
      <xdr:spPr bwMode="auto">
        <a:xfrm>
          <a:off x="1955800" y="152400"/>
          <a:ext cx="7785100" cy="177800"/>
        </a:xfrm>
        <a:prstGeom prst="rect">
          <a:avLst/>
        </a:prstGeom>
        <a:solidFill>
          <a:srgbClr xmlns:mc="http://schemas.openxmlformats.org/markup-compatibility/2006" xmlns:a14="http://schemas.microsoft.com/office/drawing/2010/main" val="FFFFA1" mc:Ignorable="a14" a14:legacySpreadsheetColorIndex="80"/>
        </a:solidFill>
        <a:ln w="9525">
          <a:solidFill>
            <a:srgbClr val="000000"/>
          </a:solidFill>
          <a:miter lim="800000"/>
          <a:headEnd/>
          <a:tailEnd/>
        </a:ln>
        <a:effectLst>
          <a:outerShdw blurRad="63500" dist="38099" dir="2700000" algn="ctr" rotWithShape="0">
            <a:srgbClr xmlns:mc="http://schemas.openxmlformats.org/markup-compatibility/2006" xmlns:a14="http://schemas.microsoft.com/office/drawing/2010/main" val="0000D4" mc:Ignorable="a14" a14:legacySpreadsheetColorIndex="12">
              <a:alpha val="50000"/>
            </a:srgbClr>
          </a:outerShdw>
        </a:effectLst>
        <a:extLst>
          <a:ext uri="{53640926-AAD7-44d8-BBD7-CCE9431645EC}">
            <a14:shadowObscured xmlns:a14="http://schemas.microsoft.com/office/drawing/2010/main" val="1"/>
          </a:ext>
        </a:extLst>
      </xdr:spPr>
      <xdr:txBody>
        <a:bodyPr wrap="none" lIns="18288" tIns="18288" rIns="0" bIns="0" anchor="t" upright="1">
          <a:spAutoFit/>
        </a:bodyPr>
        <a:lstStyle/>
        <a:p>
          <a:pPr algn="l" rtl="0">
            <a:defRPr sz="1000"/>
          </a:pPr>
          <a:r>
            <a:rPr lang="en-US" sz="1000" b="1" i="0" u="none" strike="noStrike" baseline="0">
              <a:solidFill>
                <a:srgbClr val="003366"/>
              </a:solidFill>
              <a:latin typeface="Arial"/>
              <a:ea typeface="Arial"/>
              <a:cs typeface="Arial"/>
            </a:rPr>
            <a:t>This spreadsheet should be used in conjunction with the Standby Rate Manual: see www.xxxxxxxxxxxxxxxxxx</a:t>
          </a:r>
        </a:p>
      </xdr:txBody>
    </xdr:sp>
    <xdr:clientData fPrintsWithSheet="0"/>
  </xdr:oneCellAnchor>
  <xdr:twoCellAnchor>
    <xdr:from>
      <xdr:col>3</xdr:col>
      <xdr:colOff>317500</xdr:colOff>
      <xdr:row>14</xdr:row>
      <xdr:rowOff>0</xdr:rowOff>
    </xdr:from>
    <xdr:to>
      <xdr:col>4</xdr:col>
      <xdr:colOff>0</xdr:colOff>
      <xdr:row>14</xdr:row>
      <xdr:rowOff>127000</xdr:rowOff>
    </xdr:to>
    <xdr:sp macro="" textlink="">
      <xdr:nvSpPr>
        <xdr:cNvPr id="1078" name="AutoShape 54"/>
        <xdr:cNvSpPr>
          <a:spLocks noChangeArrowheads="1"/>
        </xdr:cNvSpPr>
      </xdr:nvSpPr>
      <xdr:spPr bwMode="auto">
        <a:xfrm>
          <a:off x="2755900" y="2095500"/>
          <a:ext cx="495300" cy="127000"/>
        </a:xfrm>
        <a:prstGeom prst="rightArrow">
          <a:avLst>
            <a:gd name="adj1" fmla="val 50000"/>
            <a:gd name="adj2" fmla="val 97500"/>
          </a:avLst>
        </a:prstGeom>
        <a:solidFill>
          <a:srgbClr xmlns:mc="http://schemas.openxmlformats.org/markup-compatibility/2006" xmlns:a14="http://schemas.microsoft.com/office/drawing/2010/main" val="FF9900" mc:Ignorable="a14" a14:legacySpreadsheetColorIndex="52"/>
        </a:solidFill>
        <a:ln w="3175">
          <a:solidFill>
            <a:srgbClr val="000000"/>
          </a:solidFill>
          <a:miter lim="800000"/>
          <a:headEnd/>
          <a:tailEnd/>
        </a:ln>
        <a:effectLst>
          <a:outerShdw blurRad="63500" dist="38099" dir="2700000" algn="ctr" rotWithShape="0">
            <a:srgbClr val="000000">
              <a:alpha val="74998"/>
            </a:srgbClr>
          </a:outerShdw>
        </a:effectLst>
        <a:extLst>
          <a:ext uri="{53640926-AAD7-44d8-BBD7-CCE9431645EC}">
            <a14:shadowObscured xmlns:a14="http://schemas.microsoft.com/office/drawing/2010/main" val="1"/>
          </a:ext>
        </a:extLst>
      </xdr:spPr>
      <xdr:txBody>
        <a:bodyPr rtlCol="0"/>
        <a:lstStyle/>
        <a:p>
          <a:pPr algn="ctr"/>
          <a:endParaRPr lang="en-US"/>
        </a:p>
      </xdr:txBody>
    </xdr:sp>
    <xdr:clientData/>
  </xdr:twoCellAnchor>
  <mc:AlternateContent xmlns:mc="http://schemas.openxmlformats.org/markup-compatibility/2006">
    <mc:Choice xmlns:a14="http://schemas.microsoft.com/office/drawing/2010/main" Requires="a14">
      <xdr:twoCellAnchor editAs="oneCell">
        <xdr:from>
          <xdr:col>9</xdr:col>
          <xdr:colOff>0</xdr:colOff>
          <xdr:row>4</xdr:row>
          <xdr:rowOff>127000</xdr:rowOff>
        </xdr:from>
        <xdr:to>
          <xdr:col>10</xdr:col>
          <xdr:colOff>0</xdr:colOff>
          <xdr:row>6</xdr:row>
          <xdr:rowOff>25400</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mr-IN"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139700</xdr:rowOff>
        </xdr:from>
        <xdr:to>
          <xdr:col>11</xdr:col>
          <xdr:colOff>0</xdr:colOff>
          <xdr:row>30</xdr:row>
          <xdr:rowOff>38100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mr-IN"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5</xdr:col>
          <xdr:colOff>482600</xdr:colOff>
          <xdr:row>28</xdr:row>
          <xdr:rowOff>50800</xdr:rowOff>
        </xdr:to>
        <xdr:sp macro="" textlink="">
          <xdr:nvSpPr>
            <xdr:cNvPr id="1118" name="Drop Down 94"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blurRad="63500"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blurRad="63500"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9" Type="http://schemas.openxmlformats.org/officeDocument/2006/relationships/ctrlProp" Target="../ctrlProps/ctrlProp7.xml"/><Relationship Id="rId10" Type="http://schemas.openxmlformats.org/officeDocument/2006/relationships/comments" Target="../comments1.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pageSetUpPr fitToPage="1"/>
  </sheetPr>
  <dimension ref="A1:W112"/>
  <sheetViews>
    <sheetView showGridLines="0" tabSelected="1" workbookViewId="0">
      <pane ySplit="2800" topLeftCell="A44" activePane="bottomLeft"/>
      <selection activeCell="J5" sqref="J5"/>
      <selection pane="bottomLeft" activeCell="D48" sqref="D48"/>
    </sheetView>
  </sheetViews>
  <sheetFormatPr baseColWidth="10" defaultColWidth="8.83203125" defaultRowHeight="12" x14ac:dyDescent="0"/>
  <cols>
    <col min="1" max="13" width="10.6640625" customWidth="1"/>
    <col min="15" max="15" width="13" bestFit="1" customWidth="1"/>
    <col min="16" max="16" width="13.83203125" bestFit="1" customWidth="1"/>
    <col min="17" max="17" width="9.5" bestFit="1" customWidth="1"/>
    <col min="18" max="18" width="9.33203125" bestFit="1" customWidth="1"/>
  </cols>
  <sheetData>
    <row r="1" spans="1:16">
      <c r="A1" s="467" t="s">
        <v>297</v>
      </c>
      <c r="B1" s="468"/>
      <c r="C1" s="468"/>
      <c r="D1" s="468"/>
      <c r="E1" s="468"/>
      <c r="F1" s="468"/>
      <c r="G1" s="468"/>
      <c r="H1" s="468"/>
      <c r="I1" s="468"/>
      <c r="J1" s="468"/>
      <c r="K1" s="468"/>
      <c r="L1" s="469"/>
      <c r="M1" s="114"/>
    </row>
    <row r="2" spans="1:16">
      <c r="A2" s="293" t="s">
        <v>339</v>
      </c>
      <c r="B2" s="277"/>
      <c r="C2" s="277"/>
      <c r="D2" s="277"/>
      <c r="E2" s="277"/>
      <c r="F2" s="277"/>
      <c r="G2" s="277"/>
      <c r="H2" s="277"/>
      <c r="I2" s="5"/>
      <c r="J2" s="59"/>
      <c r="K2" s="59"/>
      <c r="L2" s="294"/>
      <c r="M2" s="5"/>
    </row>
    <row r="3" spans="1:16">
      <c r="A3" s="295"/>
      <c r="B3" s="5"/>
      <c r="C3" s="5"/>
      <c r="D3" s="5"/>
      <c r="E3" s="5"/>
      <c r="F3" s="5"/>
      <c r="G3" s="5"/>
      <c r="H3" s="5"/>
      <c r="I3" s="5"/>
      <c r="J3" s="59"/>
      <c r="K3" s="59"/>
      <c r="L3" s="294"/>
      <c r="M3" s="5"/>
      <c r="N3" s="227"/>
    </row>
    <row r="4" spans="1:16">
      <c r="A4" s="295"/>
      <c r="B4" s="278" t="s">
        <v>205</v>
      </c>
      <c r="C4" s="5"/>
      <c r="D4" s="5"/>
      <c r="E4" s="5"/>
      <c r="F4" s="5"/>
      <c r="G4" s="5"/>
      <c r="H4" s="5"/>
      <c r="I4" s="279" t="s">
        <v>314</v>
      </c>
      <c r="J4" s="59"/>
      <c r="K4" s="59"/>
      <c r="L4" s="294"/>
      <c r="M4" s="5"/>
    </row>
    <row r="5" spans="1:16">
      <c r="A5" s="295"/>
      <c r="B5" s="5"/>
      <c r="C5" s="5"/>
      <c r="D5" s="5"/>
      <c r="E5" s="5"/>
      <c r="F5" s="5"/>
      <c r="G5" s="5"/>
      <c r="H5" s="5"/>
      <c r="I5" s="5"/>
      <c r="J5" s="59"/>
      <c r="K5" s="59"/>
      <c r="L5" s="294"/>
      <c r="M5" s="5"/>
    </row>
    <row r="6" spans="1:16">
      <c r="A6" s="295"/>
      <c r="B6" s="278" t="s">
        <v>285</v>
      </c>
      <c r="C6" s="5"/>
      <c r="D6" s="5"/>
      <c r="E6" s="5"/>
      <c r="F6" s="5"/>
      <c r="G6" s="5"/>
      <c r="H6" s="5"/>
      <c r="I6" s="279" t="s">
        <v>216</v>
      </c>
      <c r="J6" s="280" t="s">
        <v>326</v>
      </c>
      <c r="K6" s="92"/>
      <c r="L6" s="294"/>
      <c r="M6" s="5"/>
    </row>
    <row r="7" spans="1:16" ht="8" customHeight="1">
      <c r="A7" s="295"/>
      <c r="B7" s="5"/>
      <c r="C7" s="5"/>
      <c r="D7" s="5"/>
      <c r="E7" s="5"/>
      <c r="F7" s="5"/>
      <c r="G7" s="5"/>
      <c r="H7" s="5"/>
      <c r="I7" s="5"/>
      <c r="J7" s="5"/>
      <c r="K7" s="5"/>
      <c r="L7" s="294"/>
      <c r="M7" s="5"/>
    </row>
    <row r="8" spans="1:16" ht="13" thickBot="1">
      <c r="A8" s="293" t="s">
        <v>295</v>
      </c>
      <c r="B8" s="5"/>
      <c r="C8" s="5"/>
      <c r="D8" s="5"/>
      <c r="E8" s="5"/>
      <c r="F8" s="5"/>
      <c r="G8" s="5"/>
      <c r="H8" s="5"/>
      <c r="I8" s="5"/>
      <c r="J8" s="5"/>
      <c r="K8" s="5"/>
      <c r="L8" s="294"/>
      <c r="M8" s="5"/>
    </row>
    <row r="9" spans="1:16">
      <c r="A9" s="296" t="s">
        <v>303</v>
      </c>
      <c r="B9" s="5"/>
      <c r="C9" s="5"/>
      <c r="D9" s="5"/>
      <c r="E9" s="9"/>
      <c r="F9" s="465" t="s">
        <v>395</v>
      </c>
      <c r="G9" s="465"/>
      <c r="H9" s="465" t="s">
        <v>17</v>
      </c>
      <c r="I9" s="465"/>
      <c r="J9" s="465" t="s">
        <v>397</v>
      </c>
      <c r="K9" s="465"/>
      <c r="L9" s="359" t="s">
        <v>318</v>
      </c>
      <c r="M9" s="114"/>
    </row>
    <row r="10" spans="1:16">
      <c r="A10" s="295"/>
      <c r="B10" s="5"/>
      <c r="C10" s="5"/>
      <c r="D10" s="5"/>
      <c r="E10" s="10"/>
      <c r="F10" s="76" t="s">
        <v>187</v>
      </c>
      <c r="G10" s="76" t="s">
        <v>189</v>
      </c>
      <c r="H10" s="76" t="s">
        <v>414</v>
      </c>
      <c r="I10" s="76" t="s">
        <v>341</v>
      </c>
      <c r="J10" s="76" t="s">
        <v>342</v>
      </c>
      <c r="K10" s="76" t="s">
        <v>341</v>
      </c>
      <c r="L10" s="297" t="s">
        <v>317</v>
      </c>
      <c r="M10" s="176"/>
      <c r="N10" s="176"/>
    </row>
    <row r="11" spans="1:16">
      <c r="A11" s="298" t="s">
        <v>162</v>
      </c>
      <c r="B11" s="5" t="s">
        <v>375</v>
      </c>
      <c r="C11" s="5"/>
      <c r="D11" s="92"/>
      <c r="E11" s="233" t="s">
        <v>3</v>
      </c>
      <c r="F11" s="425">
        <v>470</v>
      </c>
      <c r="G11" s="328">
        <f>F11</f>
        <v>470</v>
      </c>
      <c r="H11" s="428">
        <v>85000</v>
      </c>
      <c r="I11" s="329">
        <v>67000</v>
      </c>
      <c r="J11" s="431">
        <v>0.12</v>
      </c>
      <c r="K11" s="324">
        <v>0.08</v>
      </c>
      <c r="L11" s="317">
        <v>1</v>
      </c>
      <c r="M11" s="230"/>
    </row>
    <row r="12" spans="1:16">
      <c r="A12" s="295"/>
      <c r="B12" s="5"/>
      <c r="C12" s="5"/>
      <c r="D12" s="5"/>
      <c r="E12" s="233" t="s">
        <v>4</v>
      </c>
      <c r="F12" s="426">
        <v>470</v>
      </c>
      <c r="G12" s="330">
        <f t="shared" ref="G12:G22" si="0">F12</f>
        <v>470</v>
      </c>
      <c r="H12" s="429">
        <v>85000</v>
      </c>
      <c r="I12" s="331">
        <v>67000</v>
      </c>
      <c r="J12" s="431">
        <v>0.12</v>
      </c>
      <c r="K12" s="324">
        <v>0.08</v>
      </c>
      <c r="L12" s="317">
        <v>333333</v>
      </c>
      <c r="M12" s="230"/>
      <c r="O12" s="128"/>
      <c r="P12" s="128"/>
    </row>
    <row r="13" spans="1:16">
      <c r="A13" s="298" t="s">
        <v>15</v>
      </c>
      <c r="B13" s="5" t="s">
        <v>376</v>
      </c>
      <c r="C13" s="5"/>
      <c r="D13" s="5"/>
      <c r="E13" s="233" t="s">
        <v>5</v>
      </c>
      <c r="F13" s="426">
        <v>470</v>
      </c>
      <c r="G13" s="330">
        <f t="shared" si="0"/>
        <v>470</v>
      </c>
      <c r="H13" s="429">
        <v>85000</v>
      </c>
      <c r="I13" s="331">
        <v>67000</v>
      </c>
      <c r="J13" s="431">
        <v>0.11</v>
      </c>
      <c r="K13" s="324">
        <v>0.09</v>
      </c>
      <c r="L13" s="317">
        <v>1</v>
      </c>
      <c r="M13" s="230"/>
      <c r="O13" s="128"/>
      <c r="P13" s="128"/>
    </row>
    <row r="14" spans="1:16">
      <c r="A14" s="295"/>
      <c r="B14" s="5"/>
      <c r="C14" s="5"/>
      <c r="D14" s="5"/>
      <c r="E14" s="233" t="s">
        <v>6</v>
      </c>
      <c r="F14" s="426">
        <v>460</v>
      </c>
      <c r="G14" s="330">
        <f t="shared" si="0"/>
        <v>460</v>
      </c>
      <c r="H14" s="429">
        <v>144000</v>
      </c>
      <c r="I14" s="331">
        <v>50000</v>
      </c>
      <c r="J14" s="431">
        <v>0.1</v>
      </c>
      <c r="K14" s="324">
        <v>0.08</v>
      </c>
      <c r="L14" s="317">
        <v>44444</v>
      </c>
      <c r="M14" s="230"/>
      <c r="O14" s="128"/>
      <c r="P14" s="128"/>
    </row>
    <row r="15" spans="1:16">
      <c r="A15" s="298" t="s">
        <v>299</v>
      </c>
      <c r="B15" s="5" t="s">
        <v>377</v>
      </c>
      <c r="C15" s="5"/>
      <c r="D15" s="5"/>
      <c r="E15" s="233" t="s">
        <v>7</v>
      </c>
      <c r="F15" s="426">
        <v>500</v>
      </c>
      <c r="G15" s="330">
        <f t="shared" si="0"/>
        <v>500</v>
      </c>
      <c r="H15" s="429">
        <v>108000</v>
      </c>
      <c r="I15" s="331">
        <v>50000</v>
      </c>
      <c r="J15" s="431">
        <v>0.11</v>
      </c>
      <c r="K15" s="324">
        <v>7.0000000000000007E-2</v>
      </c>
      <c r="L15" s="317">
        <v>1</v>
      </c>
      <c r="M15" s="230"/>
      <c r="O15" s="128"/>
      <c r="P15" s="128"/>
    </row>
    <row r="16" spans="1:16">
      <c r="A16" s="295"/>
      <c r="B16" s="5"/>
      <c r="C16" s="5"/>
      <c r="D16" s="5"/>
      <c r="E16" s="233" t="s">
        <v>8</v>
      </c>
      <c r="F16" s="426">
        <v>501</v>
      </c>
      <c r="G16" s="330">
        <f t="shared" si="0"/>
        <v>501</v>
      </c>
      <c r="H16" s="429">
        <v>108000</v>
      </c>
      <c r="I16" s="331">
        <v>50000</v>
      </c>
      <c r="J16" s="431">
        <v>0.12</v>
      </c>
      <c r="K16" s="324">
        <v>7.0000000000000007E-2</v>
      </c>
      <c r="L16" s="317">
        <v>1</v>
      </c>
      <c r="M16" s="230"/>
      <c r="O16" s="128"/>
      <c r="P16" s="128"/>
    </row>
    <row r="17" spans="1:16">
      <c r="A17" s="298" t="s">
        <v>280</v>
      </c>
      <c r="B17" s="5"/>
      <c r="C17" s="268">
        <v>500</v>
      </c>
      <c r="D17" s="281" t="s">
        <v>282</v>
      </c>
      <c r="E17" s="233" t="s">
        <v>9</v>
      </c>
      <c r="F17" s="426">
        <v>1001</v>
      </c>
      <c r="G17" s="330">
        <f t="shared" si="0"/>
        <v>1001</v>
      </c>
      <c r="H17" s="429">
        <v>108000</v>
      </c>
      <c r="I17" s="331">
        <v>50000</v>
      </c>
      <c r="J17" s="431">
        <v>0.13</v>
      </c>
      <c r="K17" s="324">
        <v>0.09</v>
      </c>
      <c r="L17" s="317">
        <v>1</v>
      </c>
      <c r="M17" s="230"/>
      <c r="O17" s="128"/>
      <c r="P17" s="128"/>
    </row>
    <row r="18" spans="1:16">
      <c r="A18" s="295"/>
      <c r="B18" s="282" t="s">
        <v>284</v>
      </c>
      <c r="C18" s="283">
        <f>MAX(F11:G22)</f>
        <v>1001</v>
      </c>
      <c r="D18" s="281" t="s">
        <v>296</v>
      </c>
      <c r="E18" s="233" t="s">
        <v>10</v>
      </c>
      <c r="F18" s="426">
        <v>500</v>
      </c>
      <c r="G18" s="330">
        <f t="shared" si="0"/>
        <v>500</v>
      </c>
      <c r="H18" s="429">
        <v>108000</v>
      </c>
      <c r="I18" s="331">
        <v>50000</v>
      </c>
      <c r="J18" s="431">
        <v>0.14000000000000001</v>
      </c>
      <c r="K18" s="324">
        <v>0.09</v>
      </c>
      <c r="L18" s="317">
        <v>1</v>
      </c>
      <c r="M18" s="230"/>
      <c r="O18" s="128"/>
      <c r="P18" s="128"/>
    </row>
    <row r="19" spans="1:16">
      <c r="A19" s="295"/>
      <c r="B19" s="5"/>
      <c r="C19" s="5"/>
      <c r="D19" s="5"/>
      <c r="E19" s="233" t="s">
        <v>11</v>
      </c>
      <c r="F19" s="426">
        <v>500</v>
      </c>
      <c r="G19" s="330">
        <f t="shared" si="0"/>
        <v>500</v>
      </c>
      <c r="H19" s="429">
        <v>108000</v>
      </c>
      <c r="I19" s="331">
        <v>50000</v>
      </c>
      <c r="J19" s="431">
        <v>0.11</v>
      </c>
      <c r="K19" s="324">
        <v>0.08</v>
      </c>
      <c r="L19" s="317">
        <v>1</v>
      </c>
      <c r="M19" s="230"/>
      <c r="O19" s="128"/>
      <c r="P19" s="128"/>
    </row>
    <row r="20" spans="1:16">
      <c r="A20" s="298" t="s">
        <v>313</v>
      </c>
      <c r="B20" s="5"/>
      <c r="C20" s="5"/>
      <c r="D20" s="5"/>
      <c r="E20" s="233" t="s">
        <v>12</v>
      </c>
      <c r="F20" s="426">
        <v>460</v>
      </c>
      <c r="G20" s="330">
        <f t="shared" si="0"/>
        <v>460</v>
      </c>
      <c r="H20" s="429">
        <v>85000</v>
      </c>
      <c r="I20" s="331">
        <v>48000</v>
      </c>
      <c r="J20" s="431">
        <v>0.11</v>
      </c>
      <c r="K20" s="324">
        <v>0.08</v>
      </c>
      <c r="L20" s="317">
        <v>1</v>
      </c>
      <c r="M20" s="230"/>
      <c r="O20" s="128"/>
      <c r="P20" s="128"/>
    </row>
    <row r="21" spans="1:16">
      <c r="A21" s="295"/>
      <c r="B21" s="282" t="s">
        <v>300</v>
      </c>
      <c r="C21" s="224">
        <f>INDEX(Tables!N40:N45,Tables!O40,1)</f>
        <v>0</v>
      </c>
      <c r="D21" s="5"/>
      <c r="E21" s="233" t="s">
        <v>13</v>
      </c>
      <c r="F21" s="426">
        <v>470</v>
      </c>
      <c r="G21" s="330">
        <f t="shared" si="0"/>
        <v>470</v>
      </c>
      <c r="H21" s="429">
        <v>85000</v>
      </c>
      <c r="I21" s="331">
        <v>67000</v>
      </c>
      <c r="J21" s="431">
        <v>0.12</v>
      </c>
      <c r="K21" s="324">
        <v>0.1</v>
      </c>
      <c r="L21" s="317">
        <v>1</v>
      </c>
      <c r="M21" s="230"/>
      <c r="O21" s="128"/>
      <c r="P21" s="128"/>
    </row>
    <row r="22" spans="1:16" ht="13" thickBot="1">
      <c r="A22" s="295"/>
      <c r="B22" s="5"/>
      <c r="C22" s="5"/>
      <c r="D22" s="5"/>
      <c r="E22" s="234" t="s">
        <v>14</v>
      </c>
      <c r="F22" s="427">
        <v>470</v>
      </c>
      <c r="G22" s="332">
        <f t="shared" si="0"/>
        <v>470</v>
      </c>
      <c r="H22" s="430">
        <v>85000</v>
      </c>
      <c r="I22" s="333">
        <v>67000</v>
      </c>
      <c r="J22" s="432">
        <v>0.12</v>
      </c>
      <c r="K22" s="325">
        <v>0.1</v>
      </c>
      <c r="L22" s="316">
        <v>1</v>
      </c>
      <c r="M22" s="230"/>
      <c r="O22" s="128"/>
      <c r="P22" s="128"/>
    </row>
    <row r="23" spans="1:16">
      <c r="A23" s="293" t="s">
        <v>294</v>
      </c>
      <c r="B23" s="5"/>
      <c r="C23" s="5"/>
      <c r="D23" s="5"/>
      <c r="E23" s="225"/>
      <c r="F23" s="225"/>
      <c r="G23" s="225"/>
      <c r="H23" s="225"/>
      <c r="I23" s="225"/>
      <c r="J23" s="5"/>
      <c r="K23" s="5"/>
      <c r="L23" s="299"/>
      <c r="M23" s="225"/>
      <c r="O23" s="128"/>
      <c r="P23" s="128"/>
    </row>
    <row r="24" spans="1:16">
      <c r="A24" s="295"/>
      <c r="B24" s="5"/>
      <c r="C24" s="5"/>
      <c r="D24" s="5"/>
      <c r="E24" s="5"/>
      <c r="F24" s="5"/>
      <c r="G24" s="5"/>
      <c r="H24" s="5"/>
      <c r="I24" s="5"/>
      <c r="J24" s="282" t="s">
        <v>223</v>
      </c>
      <c r="K24" s="326">
        <v>0.05</v>
      </c>
      <c r="L24" s="294"/>
      <c r="M24" s="5"/>
      <c r="O24" s="128"/>
      <c r="P24" s="128"/>
    </row>
    <row r="25" spans="1:16">
      <c r="A25" s="295"/>
      <c r="B25" s="5"/>
      <c r="C25" s="5"/>
      <c r="D25" s="5"/>
      <c r="E25" s="5"/>
      <c r="F25" s="5"/>
      <c r="G25" s="226"/>
      <c r="H25" s="5"/>
      <c r="I25" s="5"/>
      <c r="J25" s="92"/>
      <c r="K25" s="5"/>
      <c r="L25" s="294"/>
      <c r="M25" s="5"/>
      <c r="O25" s="128"/>
      <c r="P25" s="128"/>
    </row>
    <row r="26" spans="1:16">
      <c r="A26" s="295"/>
      <c r="B26" s="5" t="s">
        <v>327</v>
      </c>
      <c r="C26" s="5"/>
      <c r="D26" s="5"/>
      <c r="E26" s="126">
        <v>300</v>
      </c>
      <c r="F26" s="100" t="s">
        <v>282</v>
      </c>
      <c r="G26" s="5"/>
      <c r="H26" s="5"/>
      <c r="I26" s="5"/>
      <c r="J26" s="282" t="s">
        <v>200</v>
      </c>
      <c r="K26" s="327">
        <v>1</v>
      </c>
      <c r="L26" s="294"/>
      <c r="M26" s="5"/>
      <c r="N26" s="18"/>
      <c r="O26" s="4"/>
    </row>
    <row r="27" spans="1:16">
      <c r="A27" s="295"/>
      <c r="B27" s="5"/>
      <c r="C27" s="5"/>
      <c r="D27" s="5"/>
      <c r="E27" s="5"/>
      <c r="F27" s="5"/>
      <c r="G27" s="177"/>
      <c r="H27" s="284"/>
      <c r="I27" s="284"/>
      <c r="J27" s="5"/>
      <c r="K27" s="5"/>
      <c r="L27" s="294"/>
      <c r="M27" s="5"/>
      <c r="N27" s="18"/>
      <c r="O27" s="4"/>
    </row>
    <row r="28" spans="1:16">
      <c r="A28" s="295"/>
      <c r="B28" s="5" t="s">
        <v>202</v>
      </c>
      <c r="C28" s="5"/>
      <c r="D28" s="177"/>
      <c r="E28" s="177"/>
      <c r="F28" s="177"/>
      <c r="G28" s="5"/>
      <c r="H28" s="284"/>
      <c r="I28" s="284"/>
      <c r="J28" s="282" t="s">
        <v>320</v>
      </c>
      <c r="K28" s="5"/>
      <c r="L28" s="294"/>
      <c r="M28" s="5"/>
      <c r="O28" s="4"/>
    </row>
    <row r="29" spans="1:16">
      <c r="A29" s="295"/>
      <c r="B29" s="5"/>
      <c r="C29" s="5"/>
      <c r="D29" s="177"/>
      <c r="E29" s="177"/>
      <c r="F29" s="177"/>
      <c r="G29" s="5"/>
      <c r="H29" s="5"/>
      <c r="I29" s="5"/>
      <c r="J29" s="285" t="str">
        <f>IF(Tables!$B$48=TRUE,"Standard rates apply if project &gt; 15% of load.","")</f>
        <v/>
      </c>
      <c r="K29" s="5"/>
      <c r="L29" s="294"/>
      <c r="M29" s="5"/>
      <c r="N29" s="18"/>
      <c r="O29" s="4"/>
    </row>
    <row r="30" spans="1:16">
      <c r="A30" s="295"/>
      <c r="B30" s="5" t="s">
        <v>201</v>
      </c>
      <c r="C30" s="5"/>
      <c r="D30" s="5"/>
      <c r="E30" s="250">
        <v>39878</v>
      </c>
      <c r="F30" s="5"/>
      <c r="G30" s="5"/>
      <c r="H30" s="5"/>
      <c r="I30" s="5"/>
      <c r="J30" s="282" t="s">
        <v>319</v>
      </c>
      <c r="K30" s="286"/>
      <c r="L30" s="294"/>
      <c r="M30" s="5"/>
      <c r="N30" s="18"/>
    </row>
    <row r="31" spans="1:16">
      <c r="A31" s="295"/>
      <c r="B31" s="5"/>
      <c r="C31" s="5"/>
      <c r="D31" s="5"/>
      <c r="E31" s="5"/>
      <c r="F31" s="5"/>
      <c r="G31" s="5"/>
      <c r="H31" s="5"/>
      <c r="I31" s="5"/>
      <c r="J31" s="287" t="str">
        <f>IF(Tables!B42=TRUE,"(See Manual for Designated Technology Rules)","")</f>
        <v>(See Manual for Designated Technology Rules)</v>
      </c>
      <c r="K31" s="5"/>
      <c r="L31" s="294"/>
      <c r="M31" s="5"/>
    </row>
    <row r="32" spans="1:16" ht="8" customHeight="1" thickBot="1">
      <c r="A32" s="295"/>
      <c r="B32" s="5"/>
      <c r="C32" s="5"/>
      <c r="D32" s="5"/>
      <c r="E32" s="5"/>
      <c r="F32" s="5"/>
      <c r="G32" s="5"/>
      <c r="H32" s="5"/>
      <c r="I32" s="5"/>
      <c r="J32" s="5"/>
      <c r="K32" s="288"/>
      <c r="L32" s="300"/>
      <c r="M32" s="288"/>
    </row>
    <row r="33" spans="1:14">
      <c r="A33" s="464" t="s">
        <v>350</v>
      </c>
      <c r="B33" s="465"/>
      <c r="C33" s="465"/>
      <c r="D33" s="465"/>
      <c r="E33" s="465"/>
      <c r="F33" s="465"/>
      <c r="G33" s="465"/>
      <c r="H33" s="465"/>
      <c r="I33" s="465"/>
      <c r="J33" s="465"/>
      <c r="K33" s="465"/>
      <c r="L33" s="466"/>
      <c r="M33" s="114"/>
    </row>
    <row r="34" spans="1:14">
      <c r="A34" s="293" t="s">
        <v>292</v>
      </c>
      <c r="B34" s="114"/>
      <c r="C34" s="114"/>
      <c r="D34" s="114"/>
      <c r="E34" s="114"/>
      <c r="F34" s="114"/>
      <c r="G34" s="114"/>
      <c r="H34" s="114"/>
      <c r="I34" s="114"/>
      <c r="J34" s="114"/>
      <c r="K34" s="114"/>
      <c r="L34" s="301"/>
      <c r="M34" s="114"/>
    </row>
    <row r="35" spans="1:14">
      <c r="A35" s="295"/>
      <c r="B35" s="72" t="s">
        <v>316</v>
      </c>
      <c r="C35" s="5"/>
      <c r="D35" s="5"/>
      <c r="E35" s="222" t="str">
        <f>IF($C$21=0,"User must select building type in section (1) or enter a Demand Discount Factor","N/A")</f>
        <v>User must select building type in section (1) or enter a Demand Discount Factor</v>
      </c>
      <c r="F35" s="5"/>
      <c r="G35" s="5"/>
      <c r="H35" s="5"/>
      <c r="I35" s="5"/>
      <c r="J35" s="5"/>
      <c r="K35" s="5"/>
      <c r="L35" s="301"/>
      <c r="M35" s="114"/>
      <c r="N35" s="4"/>
    </row>
    <row r="36" spans="1:14">
      <c r="A36" s="295"/>
      <c r="B36" s="5" t="s">
        <v>287</v>
      </c>
      <c r="C36" s="5"/>
      <c r="D36" s="5"/>
      <c r="E36" s="222" t="str">
        <f>IF(CD_level&lt;MAX(F11:G22),"Contract Demand May be Too Low--Check Input Level","N/A" )</f>
        <v>Contract Demand May be Too Low--Check Input Level</v>
      </c>
      <c r="F36" s="5"/>
      <c r="G36" s="5"/>
      <c r="H36" s="5"/>
      <c r="I36" s="5"/>
      <c r="J36" s="5"/>
      <c r="K36" s="5"/>
      <c r="L36" s="300"/>
      <c r="M36" s="288"/>
      <c r="N36" s="4"/>
    </row>
    <row r="37" spans="1:14">
      <c r="A37" s="295"/>
      <c r="B37" s="72" t="s">
        <v>290</v>
      </c>
      <c r="C37" s="5"/>
      <c r="D37" s="5"/>
      <c r="E37" s="222" t="str">
        <f>IF(Nameplate&lt;(CD_level*0.2),CONCATENATE("Projects &lt; 15% of load not Subject to Standby Rates, yours is set at  ",FIXED((Nameplate/CD_level*100),0),"% of Contract Demand."),"N/A")</f>
        <v>N/A</v>
      </c>
      <c r="F37" s="5"/>
      <c r="G37" s="5"/>
      <c r="H37" s="5"/>
      <c r="I37" s="5"/>
      <c r="J37" s="5"/>
      <c r="K37" s="5"/>
      <c r="L37" s="300"/>
      <c r="M37" s="288"/>
      <c r="N37" s="4"/>
    </row>
    <row r="38" spans="1:14">
      <c r="A38" s="295"/>
      <c r="B38" s="5" t="s">
        <v>288</v>
      </c>
      <c r="C38" s="5"/>
      <c r="D38" s="5"/>
      <c r="E38" s="222" t="str">
        <f>IF(AND(Tables!B48,(Nameplate&gt;(0.15*CD_level))),"Generator is larger than 15% of load; standby rates DO apply.","N/A")</f>
        <v>N/A</v>
      </c>
      <c r="F38" s="5"/>
      <c r="G38" s="5"/>
      <c r="H38" s="5"/>
      <c r="I38" s="5"/>
      <c r="J38" s="5"/>
      <c r="K38" s="5"/>
      <c r="L38" s="294"/>
      <c r="M38" s="5"/>
      <c r="N38" s="4"/>
    </row>
    <row r="39" spans="1:14">
      <c r="A39" s="295"/>
      <c r="B39" s="5" t="s">
        <v>302</v>
      </c>
      <c r="C39" s="5"/>
      <c r="D39" s="5"/>
      <c r="E39" s="222" t="str">
        <f>IF(Nameplate&gt;+(CD_level*C21),"DG may be oversized--consider a smaller generator","N/A")</f>
        <v>DG may be oversized--consider a smaller generator</v>
      </c>
      <c r="F39" s="5"/>
      <c r="G39" s="5"/>
      <c r="H39" s="5"/>
      <c r="I39" s="5"/>
      <c r="J39" s="5"/>
      <c r="K39" s="5"/>
      <c r="L39" s="294"/>
      <c r="M39" s="5"/>
      <c r="N39" s="4"/>
    </row>
    <row r="40" spans="1:14">
      <c r="A40" s="295"/>
      <c r="F40" s="5"/>
      <c r="G40" s="5"/>
      <c r="H40" s="5"/>
      <c r="I40" s="5"/>
      <c r="J40" s="5"/>
      <c r="K40" s="5"/>
      <c r="L40" s="294"/>
      <c r="M40" s="5"/>
      <c r="N40" s="4"/>
    </row>
    <row r="41" spans="1:14">
      <c r="A41" s="295"/>
      <c r="B41" s="5" t="s">
        <v>315</v>
      </c>
      <c r="C41" s="5"/>
      <c r="D41" s="5"/>
      <c r="E41" s="222" t="str">
        <f>IF(Tables!B42=TRUE,"If project qualifies, you may choose which rate to use","N/A")</f>
        <v>If project qualifies, you may choose which rate to use</v>
      </c>
      <c r="F41" s="5"/>
      <c r="G41" s="5"/>
      <c r="H41" s="5"/>
      <c r="I41" s="5"/>
      <c r="J41" s="5"/>
      <c r="K41" s="5"/>
      <c r="L41" s="294"/>
      <c r="M41" s="5"/>
      <c r="N41" s="4"/>
    </row>
    <row r="42" spans="1:14">
      <c r="A42" s="295"/>
      <c r="B42" s="92" t="s">
        <v>301</v>
      </c>
      <c r="C42" s="5"/>
      <c r="D42" s="5"/>
      <c r="E42" s="222" t="str">
        <f>IF(In_Service&lt;Tables!B45,"Exemption Possible - is technology Designated?",CONCATENATE("May Not Exempt: Project must be in service by ",TEXT((Tables!B45), "mmm d, yyyy")," to qualify for exemption"))</f>
        <v>Exemption Possible - is technology Designated?</v>
      </c>
      <c r="F42" s="5"/>
      <c r="G42" s="5"/>
      <c r="H42" s="5"/>
      <c r="I42" s="5"/>
      <c r="J42" s="5"/>
      <c r="K42" s="5"/>
      <c r="L42" s="294"/>
      <c r="M42" s="5"/>
      <c r="N42" s="4"/>
    </row>
    <row r="43" spans="1:14">
      <c r="A43" s="295"/>
      <c r="B43" s="5" t="s">
        <v>281</v>
      </c>
      <c r="C43" s="5"/>
      <c r="D43" s="5"/>
      <c r="E43" s="222" t="str">
        <f>IF(In_Service&lt;Tables!B64,"Eligible - See Estimates Below","Too late for phase-in")</f>
        <v>Eligible - See Estimates Below</v>
      </c>
      <c r="F43" s="5"/>
      <c r="G43" s="5"/>
      <c r="H43" s="5"/>
      <c r="I43" s="5"/>
      <c r="J43" s="5"/>
      <c r="K43" s="5"/>
      <c r="L43" s="294"/>
      <c r="M43" s="5"/>
      <c r="N43" s="4"/>
    </row>
    <row r="44" spans="1:14">
      <c r="A44" s="295"/>
      <c r="B44" s="5"/>
      <c r="C44" s="5"/>
      <c r="D44" s="5"/>
      <c r="E44" s="5"/>
      <c r="F44" s="5"/>
      <c r="G44" s="5"/>
      <c r="H44" s="5"/>
      <c r="I44" s="5"/>
      <c r="J44" s="5"/>
      <c r="K44" s="5"/>
      <c r="L44" s="294"/>
      <c r="M44" s="5"/>
    </row>
    <row r="45" spans="1:14">
      <c r="A45" s="293" t="s">
        <v>293</v>
      </c>
      <c r="B45" s="5"/>
      <c r="C45" s="5"/>
      <c r="D45" s="5"/>
      <c r="E45" s="5"/>
      <c r="F45" s="5"/>
      <c r="G45" s="5"/>
      <c r="H45" s="5"/>
      <c r="I45" s="5"/>
      <c r="J45" s="5"/>
      <c r="K45" s="5"/>
      <c r="L45" s="294"/>
      <c r="M45" s="5"/>
    </row>
    <row r="46" spans="1:14" ht="8" customHeight="1">
      <c r="A46" s="295"/>
      <c r="B46" s="5"/>
      <c r="C46" s="5"/>
      <c r="D46" s="5"/>
      <c r="E46" s="5"/>
      <c r="F46" s="5"/>
      <c r="G46" s="5"/>
      <c r="H46" s="5"/>
      <c r="I46" s="5"/>
      <c r="J46" s="5"/>
      <c r="K46" s="5"/>
      <c r="L46" s="294"/>
      <c r="M46" s="5"/>
    </row>
    <row r="47" spans="1:14">
      <c r="A47" s="302" t="s">
        <v>289</v>
      </c>
      <c r="B47" s="235"/>
      <c r="C47" s="198"/>
      <c r="D47" s="199"/>
      <c r="E47" s="289" t="s">
        <v>286</v>
      </c>
      <c r="F47" s="5"/>
      <c r="G47" s="5"/>
      <c r="H47" s="5"/>
      <c r="I47" s="5"/>
      <c r="J47" s="5"/>
      <c r="K47" s="5"/>
      <c r="L47" s="294"/>
      <c r="M47" s="5"/>
    </row>
    <row r="48" spans="1:14">
      <c r="A48" s="295" t="s">
        <v>372</v>
      </c>
      <c r="B48" s="5"/>
      <c r="C48" s="5"/>
      <c r="D48" s="463" t="s">
        <v>415</v>
      </c>
      <c r="E48" s="290" t="str">
        <f>IF($C$21=0,"Select building type in section (1) or enter a Demand Discount Factor",(CONCATENATE("Standby delivery-only charges would be roughly ",ABS(FIXED((D48*100),0)),"% ",IF(D48&lt;0,"lower","higher")," than current (standard) delivery charges.")))</f>
        <v>Select building type in section (1) or enter a Demand Discount Factor</v>
      </c>
      <c r="F48" s="5"/>
      <c r="G48" s="5"/>
      <c r="H48" s="5"/>
      <c r="I48" s="5"/>
      <c r="J48" s="5"/>
      <c r="K48" s="5"/>
      <c r="L48" s="294"/>
      <c r="M48" s="5"/>
    </row>
    <row r="49" spans="1:20">
      <c r="A49" s="295" t="s">
        <v>324</v>
      </c>
      <c r="B49" s="5"/>
      <c r="C49" s="5"/>
      <c r="D49" s="461" t="str">
        <f>IF($C$21=0,"   - ",(F59-K59)/K59)</f>
        <v xml:space="preserve">   - </v>
      </c>
      <c r="E49" s="291" t="str">
        <f>IF($C$21=0,"Select building type in section (1) or enter a Demand Discount Factor",(CONCATENATE("Standard delivery-only charges would be roughly ",ABS(FIXED((D49*100),0)),"% ",IF(D49&lt;0,"lower","higher")," than current (standard) delivery charges.")))</f>
        <v>Select building type in section (1) or enter a Demand Discount Factor</v>
      </c>
      <c r="F49" s="5"/>
      <c r="G49" s="5"/>
      <c r="H49" s="5"/>
      <c r="I49" s="5"/>
      <c r="J49" s="5"/>
      <c r="K49" s="5"/>
      <c r="L49" s="294"/>
      <c r="M49" s="5"/>
    </row>
    <row r="50" spans="1:20">
      <c r="A50" s="303" t="s">
        <v>371</v>
      </c>
      <c r="B50" s="98"/>
      <c r="C50" s="98"/>
      <c r="D50" s="462" t="str">
        <f>IF($C$21=0,"   - ",(C59-F59)/F59)</f>
        <v xml:space="preserve">   - </v>
      </c>
      <c r="E50" s="291" t="str">
        <f>IF($C$21=0,"Select building type in section (1) or enter a Demand Discount Factor",(CONCATENATE("Standby delivery-only charges would be roughly ",ABS(FIXED((D50*100),0)),"% ",IF(D50&lt;0,"lower","higher")," than CHP on standard delivery charges.")))</f>
        <v>Select building type in section (1) or enter a Demand Discount Factor</v>
      </c>
      <c r="F50" s="5"/>
      <c r="G50" s="5"/>
      <c r="H50" s="5"/>
      <c r="I50" s="5"/>
      <c r="J50" s="5"/>
      <c r="K50" s="5"/>
      <c r="L50" s="294"/>
      <c r="M50" s="5"/>
    </row>
    <row r="51" spans="1:20">
      <c r="A51" s="295"/>
      <c r="B51" s="5"/>
      <c r="C51" s="5"/>
      <c r="D51" s="5"/>
      <c r="E51" s="238" t="str">
        <f>IF(Tables!B42=FALSE,"Note: The second two comparisons (to Standard) are only relevant if exemption is possible.","")</f>
        <v/>
      </c>
      <c r="F51" s="5"/>
      <c r="G51" s="5"/>
      <c r="H51" s="5"/>
      <c r="I51" s="5"/>
      <c r="J51" s="5"/>
      <c r="K51" s="5"/>
      <c r="L51" s="294"/>
      <c r="M51" s="5"/>
    </row>
    <row r="52" spans="1:20" ht="8" customHeight="1" thickBot="1">
      <c r="A52" s="295"/>
      <c r="B52" s="5"/>
      <c r="C52" s="5"/>
      <c r="D52" s="5"/>
      <c r="E52" s="5"/>
      <c r="F52" s="72"/>
      <c r="G52" s="72"/>
      <c r="H52" s="72"/>
      <c r="I52" s="163"/>
      <c r="J52" s="72"/>
      <c r="K52" s="72"/>
      <c r="L52" s="304"/>
      <c r="M52" s="72"/>
      <c r="N52" s="45"/>
      <c r="O52" s="45"/>
      <c r="P52" s="45"/>
      <c r="Q52" s="5"/>
      <c r="R52" s="45"/>
      <c r="S52" s="45"/>
      <c r="T52" s="45"/>
    </row>
    <row r="53" spans="1:20" ht="13" thickBot="1">
      <c r="A53" s="476" t="s">
        <v>231</v>
      </c>
      <c r="B53" s="477"/>
      <c r="C53" s="477"/>
      <c r="D53" s="477"/>
      <c r="E53" s="477"/>
      <c r="F53" s="478"/>
      <c r="G53" s="72"/>
      <c r="H53" s="72"/>
      <c r="I53" s="479" t="s">
        <v>230</v>
      </c>
      <c r="J53" s="480"/>
      <c r="K53" s="481"/>
      <c r="L53" s="294"/>
      <c r="M53" s="5"/>
      <c r="Q53" s="5"/>
    </row>
    <row r="54" spans="1:20">
      <c r="A54" s="248" t="str">
        <f>IF($C$21=0,"Invalid - Missing Data!","Standby Estimate")</f>
        <v>Invalid - Missing Data!</v>
      </c>
      <c r="B54" s="236"/>
      <c r="C54" s="237"/>
      <c r="D54" s="403" t="s">
        <v>321</v>
      </c>
      <c r="E54" s="236"/>
      <c r="F54" s="237"/>
      <c r="G54" s="72"/>
      <c r="H54" s="72"/>
      <c r="I54" s="248" t="s">
        <v>321</v>
      </c>
      <c r="J54" s="236"/>
      <c r="K54" s="237"/>
      <c r="L54" s="294"/>
      <c r="M54" s="5"/>
      <c r="Q54" s="5"/>
    </row>
    <row r="55" spans="1:20">
      <c r="A55" s="406" t="s">
        <v>338</v>
      </c>
      <c r="B55" s="72"/>
      <c r="C55" s="165"/>
      <c r="D55" s="72" t="s">
        <v>325</v>
      </c>
      <c r="E55" s="72"/>
      <c r="F55" s="165"/>
      <c r="G55" s="72"/>
      <c r="H55" s="72"/>
      <c r="I55" s="168" t="s">
        <v>325</v>
      </c>
      <c r="J55" s="72"/>
      <c r="K55" s="167"/>
      <c r="L55" s="294"/>
      <c r="M55" s="5"/>
      <c r="Q55" s="5"/>
    </row>
    <row r="56" spans="1:20">
      <c r="A56" s="168"/>
      <c r="B56" s="415" t="s">
        <v>402</v>
      </c>
      <c r="C56" s="170" t="str">
        <f>IF($C$21=0," - ",Standby!C87)</f>
        <v xml:space="preserve"> - </v>
      </c>
      <c r="D56" s="72"/>
      <c r="E56" s="415" t="s">
        <v>405</v>
      </c>
      <c r="F56" s="170">
        <f>OASC!P111</f>
        <v>55389.38</v>
      </c>
      <c r="G56" s="169"/>
      <c r="H56" s="169"/>
      <c r="I56" s="168"/>
      <c r="J56" s="415" t="s">
        <v>405</v>
      </c>
      <c r="K56" s="170">
        <f>SUM(OASC!C64:P64)</f>
        <v>113814.38</v>
      </c>
      <c r="L56" s="294"/>
      <c r="M56" s="5"/>
      <c r="Q56" s="5"/>
    </row>
    <row r="57" spans="1:20">
      <c r="A57" s="168"/>
      <c r="B57" s="415" t="s">
        <v>403</v>
      </c>
      <c r="C57" s="170" t="str">
        <f>IF($C$21=0," - ",Standby!D87)</f>
        <v xml:space="preserve"> - </v>
      </c>
      <c r="D57" s="72"/>
      <c r="E57" s="415" t="s">
        <v>406</v>
      </c>
      <c r="F57" s="170">
        <f>OASC!Z111</f>
        <v>3961.3999999999996</v>
      </c>
      <c r="G57" s="169"/>
      <c r="H57" s="169"/>
      <c r="I57" s="168"/>
      <c r="J57" s="415" t="s">
        <v>406</v>
      </c>
      <c r="K57" s="170">
        <f>SUM(OASC!R64:Z64)</f>
        <v>21773.199999999997</v>
      </c>
      <c r="L57" s="294"/>
      <c r="M57" s="5"/>
      <c r="Q57" s="5"/>
    </row>
    <row r="58" spans="1:20">
      <c r="A58" s="168"/>
      <c r="B58" s="415" t="s">
        <v>404</v>
      </c>
      <c r="C58" s="170" t="str">
        <f>IF($C$21=0," - ",SUM(Standby!F105:I105))</f>
        <v xml:space="preserve"> - </v>
      </c>
      <c r="D58" s="72"/>
      <c r="E58" s="72"/>
      <c r="F58" s="167"/>
      <c r="G58" s="166"/>
      <c r="H58" s="166"/>
      <c r="I58" s="168"/>
      <c r="J58" s="72"/>
      <c r="K58" s="170"/>
      <c r="L58" s="294"/>
      <c r="M58" s="5"/>
      <c r="Q58" s="5"/>
    </row>
    <row r="59" spans="1:20">
      <c r="A59" s="168"/>
      <c r="B59" s="414" t="s">
        <v>392</v>
      </c>
      <c r="C59" s="418">
        <f>IF($C$21=0,0,Standby!I106)</f>
        <v>0</v>
      </c>
      <c r="D59" s="72"/>
      <c r="E59" s="414" t="s">
        <v>392</v>
      </c>
      <c r="F59" s="173">
        <f>SUM(F56:F57)</f>
        <v>59350.78</v>
      </c>
      <c r="G59" s="172"/>
      <c r="H59" s="172"/>
      <c r="I59" s="168"/>
      <c r="J59" s="414" t="s">
        <v>392</v>
      </c>
      <c r="K59" s="173">
        <f>SUM(K56:K57)</f>
        <v>135587.58000000002</v>
      </c>
      <c r="L59" s="294"/>
      <c r="M59" s="5"/>
      <c r="Q59" s="5"/>
    </row>
    <row r="60" spans="1:20">
      <c r="A60" s="168"/>
      <c r="B60" s="417" t="s">
        <v>391</v>
      </c>
      <c r="C60" s="402" t="str">
        <f>IF($C$21=0," - ",Standby!N106)</f>
        <v xml:space="preserve"> - </v>
      </c>
      <c r="D60" s="404"/>
      <c r="E60" s="416" t="s">
        <v>391</v>
      </c>
      <c r="F60" s="402">
        <f>OASC!AG111</f>
        <v>8781.31</v>
      </c>
      <c r="G60" s="400"/>
      <c r="H60" s="400"/>
      <c r="I60" s="407"/>
      <c r="J60" s="416" t="s">
        <v>391</v>
      </c>
      <c r="K60" s="402">
        <f>OASC!AG65</f>
        <v>25452.46</v>
      </c>
      <c r="L60" s="294"/>
      <c r="M60" s="5"/>
      <c r="Q60" s="5"/>
      <c r="S60" s="45"/>
    </row>
    <row r="61" spans="1:20">
      <c r="A61" s="168"/>
      <c r="B61" s="416" t="s">
        <v>393</v>
      </c>
      <c r="C61" s="419">
        <f>SUM(C59:C60)</f>
        <v>0</v>
      </c>
      <c r="D61" s="171"/>
      <c r="E61" s="416" t="s">
        <v>393</v>
      </c>
      <c r="F61" s="408">
        <f>SUM(F59:F60)</f>
        <v>68132.09</v>
      </c>
      <c r="I61" s="401"/>
      <c r="J61" s="416" t="s">
        <v>393</v>
      </c>
      <c r="K61" s="419">
        <f>SUM(K59:K60)</f>
        <v>161040.04</v>
      </c>
      <c r="L61" s="294"/>
      <c r="M61" s="5"/>
      <c r="Q61" s="5"/>
      <c r="S61" s="45"/>
    </row>
    <row r="62" spans="1:20">
      <c r="A62" s="168" t="s">
        <v>283</v>
      </c>
      <c r="B62" s="171"/>
      <c r="C62" s="409"/>
      <c r="D62" s="72" t="s">
        <v>283</v>
      </c>
      <c r="E62" s="171"/>
      <c r="F62" s="170"/>
      <c r="G62" s="169"/>
      <c r="H62" s="169"/>
      <c r="I62" s="168" t="s">
        <v>283</v>
      </c>
      <c r="J62" s="171"/>
      <c r="K62" s="170"/>
      <c r="L62" s="294"/>
      <c r="M62" s="5"/>
      <c r="Q62" s="5"/>
      <c r="S62" s="72"/>
    </row>
    <row r="63" spans="1:20">
      <c r="A63" s="168"/>
      <c r="B63" s="171" t="s">
        <v>340</v>
      </c>
      <c r="C63" s="170">
        <f>'CHP &amp; Energy'!N50</f>
        <v>44695.450000000012</v>
      </c>
      <c r="D63" s="72"/>
      <c r="E63" s="171" t="s">
        <v>340</v>
      </c>
      <c r="F63" s="170">
        <f>'CHP &amp; Energy'!N50</f>
        <v>44695.450000000012</v>
      </c>
      <c r="G63" s="169"/>
      <c r="H63" s="169"/>
      <c r="I63" s="168"/>
      <c r="J63" s="171" t="s">
        <v>340</v>
      </c>
      <c r="K63" s="170">
        <f>'CHP &amp; Energy'!I50</f>
        <v>139780</v>
      </c>
      <c r="L63" s="294"/>
      <c r="M63" s="5"/>
      <c r="Q63" s="5"/>
      <c r="S63" s="171"/>
    </row>
    <row r="64" spans="1:20">
      <c r="A64" s="168"/>
      <c r="B64" s="171" t="s">
        <v>341</v>
      </c>
      <c r="C64" s="170">
        <f>'CHP &amp; Energy'!P50</f>
        <v>57990</v>
      </c>
      <c r="D64" s="72"/>
      <c r="E64" s="171" t="s">
        <v>341</v>
      </c>
      <c r="F64" s="170">
        <f>'CHP &amp; Energy'!P50</f>
        <v>57990</v>
      </c>
      <c r="G64" s="169"/>
      <c r="H64" s="169"/>
      <c r="I64" s="168"/>
      <c r="J64" s="171" t="s">
        <v>341</v>
      </c>
      <c r="K64" s="170">
        <f>'CHP &amp; Energy'!K50</f>
        <v>57990</v>
      </c>
      <c r="L64" s="294"/>
      <c r="M64" s="5"/>
      <c r="Q64" s="5"/>
      <c r="S64" s="229"/>
    </row>
    <row r="65" spans="1:23">
      <c r="A65" s="168"/>
      <c r="B65" s="274" t="s">
        <v>348</v>
      </c>
      <c r="C65" s="173">
        <f>'CHP &amp; Energy'!Q51</f>
        <v>102685.45000000001</v>
      </c>
      <c r="D65" s="72"/>
      <c r="E65" s="274" t="s">
        <v>348</v>
      </c>
      <c r="F65" s="173">
        <f>'CHP &amp; Energy'!Q51</f>
        <v>102685.45000000001</v>
      </c>
      <c r="G65" s="169"/>
      <c r="H65" s="169"/>
      <c r="I65" s="168"/>
      <c r="J65" s="274" t="s">
        <v>348</v>
      </c>
      <c r="K65" s="173">
        <f>'CHP &amp; Energy'!L51</f>
        <v>197770</v>
      </c>
      <c r="L65" s="294"/>
      <c r="M65" s="5"/>
      <c r="Q65" s="5"/>
      <c r="S65" s="230"/>
    </row>
    <row r="66" spans="1:23">
      <c r="A66" s="168" t="s">
        <v>214</v>
      </c>
      <c r="B66" s="72"/>
      <c r="C66" s="170">
        <f>OASC!AJ111</f>
        <v>2456.7910000000002</v>
      </c>
      <c r="D66" s="72" t="s">
        <v>214</v>
      </c>
      <c r="E66" s="72"/>
      <c r="F66" s="170">
        <f>OASC!AJ111</f>
        <v>2456.7910000000002</v>
      </c>
      <c r="G66" s="169"/>
      <c r="H66" s="169"/>
      <c r="I66" s="168" t="s">
        <v>214</v>
      </c>
      <c r="J66" s="72"/>
      <c r="K66" s="170">
        <f>OASC!AJ65</f>
        <v>4317.0999999999995</v>
      </c>
      <c r="L66" s="294"/>
      <c r="M66" s="5"/>
      <c r="Q66" s="5"/>
      <c r="S66" s="45"/>
    </row>
    <row r="67" spans="1:23" ht="13" thickBot="1">
      <c r="A67" s="363" t="s">
        <v>349</v>
      </c>
      <c r="B67" s="487" t="str">
        <f>IF($C$21=0," ----------------- ",C66+C60+C65+C59)</f>
        <v xml:space="preserve"> ----------------- </v>
      </c>
      <c r="C67" s="488"/>
      <c r="D67" s="405" t="s">
        <v>349</v>
      </c>
      <c r="E67" s="485">
        <f>F66+F60+F65+F59</f>
        <v>173274.33100000001</v>
      </c>
      <c r="F67" s="486"/>
      <c r="G67" s="212"/>
      <c r="H67" s="5"/>
      <c r="I67" s="363" t="s">
        <v>349</v>
      </c>
      <c r="J67" s="485">
        <f>K66+K60+K65+K59</f>
        <v>363127.14</v>
      </c>
      <c r="K67" s="486"/>
      <c r="L67" s="294"/>
      <c r="M67" s="5"/>
      <c r="S67" s="45"/>
    </row>
    <row r="68" spans="1:23" ht="8" customHeight="1">
      <c r="A68" s="295"/>
      <c r="B68" s="5"/>
      <c r="C68" s="5"/>
      <c r="D68" s="5"/>
      <c r="E68" s="5"/>
      <c r="F68" s="239"/>
      <c r="G68" s="239"/>
      <c r="H68" s="5"/>
      <c r="I68" s="212"/>
      <c r="J68" s="239"/>
      <c r="K68" s="240"/>
      <c r="L68" s="305"/>
      <c r="M68" s="212"/>
      <c r="W68" s="45"/>
    </row>
    <row r="69" spans="1:23">
      <c r="A69" s="482" t="s">
        <v>304</v>
      </c>
      <c r="B69" s="483"/>
      <c r="C69" s="484"/>
      <c r="D69" s="240"/>
      <c r="E69" s="240"/>
      <c r="F69" s="240"/>
      <c r="G69" s="240"/>
      <c r="H69" s="212"/>
      <c r="I69" s="473" t="s">
        <v>196</v>
      </c>
      <c r="J69" s="474"/>
      <c r="K69" s="475"/>
      <c r="L69" s="294"/>
      <c r="M69" s="5"/>
      <c r="S69" s="45"/>
    </row>
    <row r="70" spans="1:23">
      <c r="A70" s="306"/>
      <c r="B70" s="180" t="s">
        <v>34</v>
      </c>
      <c r="C70" s="181" t="s">
        <v>311</v>
      </c>
      <c r="D70" s="240"/>
      <c r="E70" s="240"/>
      <c r="F70" s="240"/>
      <c r="G70" s="240"/>
      <c r="H70" s="212"/>
      <c r="I70" s="132" t="s">
        <v>322</v>
      </c>
      <c r="J70" s="5"/>
      <c r="K70" s="133"/>
      <c r="L70" s="294"/>
      <c r="M70" s="5"/>
      <c r="Q70" s="5"/>
      <c r="S70" s="45"/>
    </row>
    <row r="71" spans="1:23">
      <c r="A71" s="295" t="s">
        <v>122</v>
      </c>
      <c r="B71" s="179">
        <f>Standby!AB88</f>
        <v>123428.00460833333</v>
      </c>
      <c r="C71" s="182" t="e">
        <f>Standby!AB106+C56+C57+C66</f>
        <v>#VALUE!</v>
      </c>
      <c r="D71" s="269"/>
      <c r="E71" s="269"/>
      <c r="F71" s="240"/>
      <c r="G71" s="240"/>
      <c r="H71" s="212"/>
      <c r="I71" s="257" t="s">
        <v>204</v>
      </c>
      <c r="J71" s="5"/>
      <c r="K71" s="258">
        <f>IF(SUM(L11:L22)=0,"Not Entered",SUM(L11:L22))</f>
        <v>377787</v>
      </c>
      <c r="L71" s="294"/>
      <c r="M71" s="5"/>
      <c r="Q71" s="5"/>
      <c r="S71" s="45"/>
    </row>
    <row r="72" spans="1:23">
      <c r="A72" s="303" t="s">
        <v>123</v>
      </c>
      <c r="B72" s="183">
        <f>Standby!U125</f>
        <v>0</v>
      </c>
      <c r="C72" s="160" t="e">
        <f>Standby!U1256+C56+C57+C66</f>
        <v>#VALUE!</v>
      </c>
      <c r="D72" s="240"/>
      <c r="E72" s="240"/>
      <c r="F72" s="269"/>
      <c r="G72" s="269"/>
      <c r="H72" s="212"/>
      <c r="I72" s="186" t="s">
        <v>203</v>
      </c>
      <c r="J72" s="98"/>
      <c r="K72" s="270">
        <f>IF(SUM(L11:L22)=0,"",(J67/K71)-1)</f>
        <v>-3.8804564476808356E-2</v>
      </c>
      <c r="L72" s="294"/>
      <c r="M72" s="5"/>
      <c r="Q72" s="5"/>
      <c r="S72" s="45"/>
    </row>
    <row r="73" spans="1:23" ht="13" thickBot="1">
      <c r="A73" s="295"/>
      <c r="B73" s="5"/>
      <c r="C73" s="5"/>
      <c r="D73" s="5"/>
      <c r="E73" s="5"/>
      <c r="F73" s="5"/>
      <c r="G73" s="5"/>
      <c r="H73" s="212"/>
      <c r="I73" s="292" t="str">
        <f>IF(SUM(L11:L22)=0,"",(CONCATENATE("Estimator ",IF(K72&lt;0,"understates","overstates")," annual charges by ",ABS(FIXED((K72*100),0)),"%")))</f>
        <v>Estimator understates annual charges by 4%</v>
      </c>
      <c r="J73" s="5"/>
      <c r="K73" s="241"/>
      <c r="L73" s="294"/>
      <c r="M73" s="5"/>
      <c r="Q73" s="5"/>
      <c r="S73" s="45"/>
    </row>
    <row r="74" spans="1:23" ht="13" thickBot="1">
      <c r="A74" s="355" t="str">
        <f>IF(In_Service&lt;Tables!B64," Eligible","Not Eligible")</f>
        <v xml:space="preserve"> Eligible</v>
      </c>
      <c r="B74" s="242" t="s">
        <v>298</v>
      </c>
      <c r="C74" s="243"/>
      <c r="D74" s="243"/>
      <c r="E74" s="244"/>
      <c r="F74" s="5"/>
      <c r="G74" s="5"/>
      <c r="H74" s="212"/>
      <c r="I74" s="269"/>
      <c r="J74" s="5"/>
      <c r="K74" s="241"/>
      <c r="L74" s="294"/>
      <c r="M74" s="5"/>
      <c r="N74" s="212"/>
      <c r="T74" s="45"/>
    </row>
    <row r="75" spans="1:23">
      <c r="A75" s="293" t="s">
        <v>191</v>
      </c>
      <c r="B75" s="5"/>
      <c r="C75" s="5"/>
      <c r="D75" s="5"/>
      <c r="E75" s="133"/>
      <c r="F75" s="5"/>
      <c r="G75" s="5"/>
      <c r="H75" s="470" t="str">
        <f>IF(Tables!G52=FALSE,"No electric chilling-Section Left Blank","Possible Additional Savings with Chilling")</f>
        <v>Possible Additional Savings with Chilling</v>
      </c>
      <c r="I75" s="471"/>
      <c r="J75" s="471"/>
      <c r="K75" s="472"/>
      <c r="L75" s="305"/>
      <c r="M75" s="212"/>
      <c r="S75" s="45"/>
    </row>
    <row r="76" spans="1:23">
      <c r="A76" s="307" t="s">
        <v>198</v>
      </c>
      <c r="B76" s="178" t="s">
        <v>199</v>
      </c>
      <c r="C76" s="178" t="s">
        <v>323</v>
      </c>
      <c r="D76" s="178" t="s">
        <v>195</v>
      </c>
      <c r="E76" s="273" t="s">
        <v>218</v>
      </c>
      <c r="F76" s="178"/>
      <c r="G76" s="178"/>
      <c r="H76" s="95" t="str">
        <f>IF(Tables!$G$52=FALSE,"","Summer Demand Offset (kW 'shaved') ")</f>
        <v xml:space="preserve">Summer Demand Offset (kW 'shaved') </v>
      </c>
      <c r="I76" s="96"/>
      <c r="J76" s="251"/>
      <c r="K76" s="259" t="str">
        <f>IF(Tables!G52=FALSE,"",FIXED(Tables!$M$55*Nameplate,0)&amp;"   kW")</f>
        <v>30   kW</v>
      </c>
      <c r="L76" s="294"/>
      <c r="M76" s="5"/>
      <c r="S76" s="45"/>
    </row>
    <row r="77" spans="1:23">
      <c r="A77" s="295" t="s">
        <v>192</v>
      </c>
      <c r="B77" s="184">
        <f>Tables!D57</f>
        <v>0</v>
      </c>
      <c r="C77" s="271">
        <f>IF(In_Service&lt;Tables!B57,C$59,0)</f>
        <v>0</v>
      </c>
      <c r="D77" s="271">
        <f>IF(In_Service&lt;Tables!B57,E$67,0)</f>
        <v>0</v>
      </c>
      <c r="E77" s="272">
        <f>IF(AND((C77+(Tables!D57*(D77-C77))&gt;=C77),(C77&lt;&gt;0)),C77+(Tables!D57*(D77-C77)),C77)</f>
        <v>0</v>
      </c>
      <c r="F77" s="174"/>
      <c r="G77" s="174"/>
      <c r="H77" s="255" t="str">
        <f>IF(Tables!$G$52=FALSE,"","kWh Commodity Savings ")</f>
        <v xml:space="preserve">kWh Commodity Savings </v>
      </c>
      <c r="I77" s="253"/>
      <c r="J77" s="253"/>
      <c r="K77" s="260" t="str">
        <f>IF(Tables!G52=FALSE,"",FIXED('CHP &amp; Energy'!AA33,0)&amp;" kWh")</f>
        <v>35,640 kWh</v>
      </c>
      <c r="L77" s="294"/>
      <c r="M77" s="5"/>
      <c r="S77" s="45"/>
    </row>
    <row r="78" spans="1:23">
      <c r="A78" s="295">
        <v>2008</v>
      </c>
      <c r="B78" s="184">
        <f>Tables!D58</f>
        <v>0.25</v>
      </c>
      <c r="C78" s="271">
        <f>IF(In_Service&lt;Tables!B58,C$59,0)</f>
        <v>0</v>
      </c>
      <c r="D78" s="271">
        <f>IF(In_Service&lt;Tables!B58,E$67,0)</f>
        <v>0</v>
      </c>
      <c r="E78" s="272">
        <f>IF(AND((C78+(Tables!D58*(D78-C78))&gt;=C78),(C78&lt;&gt;0)),C78+(Tables!D58*(D78-C78)),C78)</f>
        <v>0</v>
      </c>
      <c r="F78" s="174"/>
      <c r="G78" s="174"/>
      <c r="H78" s="256" t="str">
        <f>IF(Tables!$G$52=FALSE,"","Estimated Standby Savings ($)")</f>
        <v>Estimated Standby Savings ($)</v>
      </c>
      <c r="I78" s="252"/>
      <c r="J78" s="263"/>
      <c r="K78" s="261" t="str">
        <f>IF(Tables!$G$52=FALSE,"",FIXED(Standby!I125-Standby!I106+'CHP &amp; Energy'!AA51,0))</f>
        <v>48,348</v>
      </c>
      <c r="L78" s="294"/>
      <c r="M78" s="5"/>
      <c r="S78" s="72"/>
    </row>
    <row r="79" spans="1:23">
      <c r="A79" s="295">
        <v>2009</v>
      </c>
      <c r="B79" s="184">
        <f>Tables!D59</f>
        <v>0.5</v>
      </c>
      <c r="C79" s="271">
        <f>IF(In_Service&lt;Tables!B59,C$59,0)</f>
        <v>0</v>
      </c>
      <c r="D79" s="271">
        <f>IF(In_Service&lt;Tables!B59,E$67,0)</f>
        <v>0</v>
      </c>
      <c r="E79" s="272">
        <f>IF(AND((C79+(Tables!D59*(D79-C79))&gt;=C79),(C79&lt;&gt;0)),C79+(Tables!D59*(D79-C79)),C79)</f>
        <v>0</v>
      </c>
      <c r="F79" s="174"/>
      <c r="G79" s="174"/>
      <c r="H79" s="255" t="str">
        <f>IF(Tables!$G$52=FALSE,"","Estimated Standard Rate Savings ($)")</f>
        <v>Estimated Standard Rate Savings ($)</v>
      </c>
      <c r="I79" s="253"/>
      <c r="J79" s="253"/>
      <c r="K79" s="262" t="str">
        <f>IF(Tables!$G$52=FALSE,"",FIXED((OASC!P157)+'CHP &amp; Energy'!AA51,0))</f>
        <v>12,338</v>
      </c>
      <c r="L79" s="294"/>
      <c r="M79" s="5"/>
      <c r="S79" s="72"/>
    </row>
    <row r="80" spans="1:23">
      <c r="A80" s="295">
        <v>2010</v>
      </c>
      <c r="B80" s="184">
        <f>Tables!D60</f>
        <v>0.75</v>
      </c>
      <c r="C80" s="271">
        <f>IF(In_Service&lt;Tables!B60,C$59,0)</f>
        <v>0</v>
      </c>
      <c r="D80" s="271">
        <f>IF(In_Service&lt;Tables!B60,E$67,0)</f>
        <v>173274.33100000001</v>
      </c>
      <c r="E80" s="272">
        <f>IF(AND((C80+(Tables!D60*(D80-C80))&gt;=C80),(C80&lt;&gt;0)),C80+(Tables!D60*(D80-C80)),C80)</f>
        <v>0</v>
      </c>
      <c r="F80" s="174"/>
      <c r="G80" s="174"/>
      <c r="H80" s="256" t="str">
        <f>IF(Tables!$G$52=FALSE,"","% Standby Delivery Savings")</f>
        <v>% Standby Delivery Savings</v>
      </c>
      <c r="I80" s="252"/>
      <c r="J80" s="254"/>
      <c r="K80" s="410">
        <f>IF(Tables!$G$52=FALSE,"",((Standby!I125-Standby!I106)/Standby!I106))</f>
        <v>1.0105496601162927</v>
      </c>
      <c r="L80" s="294"/>
      <c r="M80" s="5"/>
      <c r="S80" s="231"/>
    </row>
    <row r="81" spans="1:20" ht="13" thickBot="1">
      <c r="A81" s="308" t="s">
        <v>222</v>
      </c>
      <c r="B81" s="309">
        <f>Tables!D61</f>
        <v>1</v>
      </c>
      <c r="C81" s="310">
        <f>IF(In_Service&lt;Tables!B61,C$59,0)</f>
        <v>0</v>
      </c>
      <c r="D81" s="310">
        <f>IF(In_Service&lt;Tables!B61,E$67,0)</f>
        <v>173274.33100000001</v>
      </c>
      <c r="E81" s="311">
        <f>IF(AND((C81+(Tables!D61*(D81-C81))&gt;=C81),(C81&lt;&gt;0)),C81+(Tables!D61*(D81-C81)),C81)</f>
        <v>0</v>
      </c>
      <c r="F81" s="312"/>
      <c r="G81" s="312"/>
      <c r="H81" s="313" t="str">
        <f>IF(Tables!$G$52=FALSE,"","% Standard Delivery Savings")</f>
        <v>% Standard Delivery Savings</v>
      </c>
      <c r="I81" s="314"/>
      <c r="J81" s="314"/>
      <c r="K81" s="411">
        <f>IF(Tables!$G$52=FALSE,"",((OASC!P111+OASC!Z111)-(OASC!P155+OASC!Z155))/(OASC!P111+OASC!Z111))</f>
        <v>0.12827225522562638</v>
      </c>
      <c r="L81" s="315"/>
      <c r="M81" s="5"/>
      <c r="S81" s="232"/>
    </row>
    <row r="82" spans="1:20">
      <c r="K82" s="169"/>
      <c r="T82" s="45"/>
    </row>
    <row r="83" spans="1:20">
      <c r="H83" s="72"/>
      <c r="I83" s="266"/>
      <c r="J83" s="5"/>
      <c r="K83" s="5"/>
      <c r="T83" s="45"/>
    </row>
    <row r="84" spans="1:20">
      <c r="H84" s="200"/>
      <c r="I84" s="5"/>
      <c r="J84" s="5"/>
      <c r="K84" s="5"/>
      <c r="T84" s="72"/>
    </row>
    <row r="85" spans="1:20">
      <c r="H85" s="169"/>
      <c r="I85" s="5"/>
      <c r="J85" s="276"/>
      <c r="K85" s="5"/>
      <c r="T85" s="171"/>
    </row>
    <row r="86" spans="1:20">
      <c r="H86" s="169"/>
      <c r="I86" s="5"/>
      <c r="J86" s="276"/>
      <c r="K86" s="5"/>
      <c r="T86" s="229"/>
    </row>
    <row r="87" spans="1:20">
      <c r="H87" s="201"/>
      <c r="I87" s="5"/>
      <c r="J87" s="276"/>
      <c r="K87" s="5"/>
      <c r="T87" s="230"/>
    </row>
    <row r="88" spans="1:20">
      <c r="H88" s="166"/>
      <c r="I88" s="5"/>
      <c r="J88" s="276"/>
      <c r="K88" s="5"/>
      <c r="T88" s="230"/>
    </row>
    <row r="89" spans="1:20">
      <c r="H89" s="169"/>
      <c r="I89" s="5"/>
      <c r="J89" s="276"/>
      <c r="K89" s="5"/>
      <c r="O89" s="212"/>
      <c r="T89" s="45"/>
    </row>
    <row r="90" spans="1:20">
      <c r="H90" s="169"/>
      <c r="I90" s="266"/>
      <c r="J90" s="5"/>
      <c r="K90" s="5"/>
      <c r="O90" s="45"/>
      <c r="T90" s="45"/>
    </row>
    <row r="91" spans="1:20">
      <c r="A91" s="72"/>
      <c r="B91" s="72"/>
      <c r="C91" s="72"/>
      <c r="D91" s="169"/>
      <c r="E91" s="166"/>
      <c r="F91" s="166"/>
      <c r="G91" s="166"/>
      <c r="H91" s="201"/>
      <c r="I91" s="5"/>
      <c r="J91" s="5"/>
      <c r="K91" s="5"/>
      <c r="O91" s="72"/>
      <c r="T91" s="45"/>
    </row>
    <row r="92" spans="1:20">
      <c r="A92" s="72"/>
      <c r="B92" s="72"/>
      <c r="C92" s="72"/>
      <c r="D92" s="201"/>
      <c r="E92" s="166"/>
      <c r="F92" s="166"/>
      <c r="G92" s="166"/>
      <c r="H92" s="72"/>
      <c r="I92" s="5"/>
      <c r="J92" s="276"/>
      <c r="K92" s="5"/>
      <c r="O92" s="72"/>
    </row>
    <row r="93" spans="1:20">
      <c r="A93" s="72"/>
      <c r="B93" s="72"/>
      <c r="C93" s="72"/>
      <c r="D93" s="72"/>
      <c r="E93" s="72"/>
      <c r="F93" s="72"/>
      <c r="G93" s="72"/>
      <c r="H93" s="169"/>
      <c r="I93" s="5"/>
      <c r="J93" s="276"/>
      <c r="K93" s="5"/>
      <c r="L93" s="72"/>
      <c r="M93" s="72"/>
      <c r="N93" s="72"/>
      <c r="O93" s="72"/>
    </row>
    <row r="94" spans="1:20">
      <c r="A94" s="72"/>
      <c r="B94" s="72"/>
      <c r="C94" s="72"/>
      <c r="D94" s="169"/>
      <c r="E94" s="72"/>
      <c r="F94" s="72"/>
      <c r="G94" s="72"/>
      <c r="H94" s="201"/>
      <c r="I94" s="5"/>
      <c r="J94" s="276"/>
      <c r="K94" s="5"/>
      <c r="N94" s="72"/>
    </row>
    <row r="95" spans="1:20">
      <c r="A95" s="72"/>
      <c r="B95" s="72"/>
      <c r="C95" s="72"/>
      <c r="D95" s="201"/>
      <c r="E95" s="166"/>
      <c r="F95" s="166"/>
      <c r="G95" s="166"/>
      <c r="H95" s="201"/>
      <c r="I95" s="5"/>
      <c r="J95" s="276"/>
      <c r="K95" s="5"/>
      <c r="N95" s="72"/>
    </row>
    <row r="96" spans="1:20">
      <c r="A96" s="72"/>
      <c r="B96" s="72"/>
      <c r="C96" s="72"/>
      <c r="D96" s="201"/>
      <c r="E96" s="166"/>
      <c r="F96" s="166"/>
      <c r="G96" s="166"/>
      <c r="H96" s="166"/>
      <c r="I96" s="5"/>
      <c r="J96" s="276"/>
      <c r="K96" s="5"/>
      <c r="N96" s="72"/>
    </row>
    <row r="97" spans="1:14">
      <c r="A97" s="72"/>
      <c r="B97" s="72"/>
      <c r="C97" s="72"/>
      <c r="D97" s="201"/>
      <c r="E97" s="166"/>
      <c r="F97" s="166"/>
      <c r="G97" s="166"/>
      <c r="H97" s="202"/>
      <c r="I97" s="5"/>
      <c r="J97" s="276"/>
      <c r="K97" s="5"/>
      <c r="N97" s="72"/>
    </row>
    <row r="98" spans="1:14">
      <c r="A98" s="72"/>
      <c r="B98" s="72"/>
      <c r="C98" s="72"/>
      <c r="D98" s="163"/>
      <c r="E98" s="72"/>
      <c r="F98" s="72"/>
      <c r="G98" s="72"/>
      <c r="H98" s="72"/>
      <c r="I98" s="5"/>
      <c r="J98" s="276"/>
      <c r="K98" s="5"/>
      <c r="N98" s="72"/>
    </row>
    <row r="99" spans="1:14">
      <c r="A99" s="72"/>
      <c r="B99" s="72"/>
      <c r="C99" s="72"/>
      <c r="D99" s="72"/>
      <c r="E99" s="72"/>
      <c r="F99" s="72"/>
      <c r="G99" s="72"/>
      <c r="I99" s="266"/>
      <c r="J99" s="5"/>
      <c r="K99" s="5"/>
      <c r="N99" s="72"/>
    </row>
    <row r="100" spans="1:14">
      <c r="I100" s="5"/>
      <c r="J100" s="5"/>
      <c r="K100" s="5"/>
      <c r="N100" s="72"/>
    </row>
    <row r="101" spans="1:14">
      <c r="I101" s="5"/>
      <c r="J101" s="276"/>
      <c r="K101" s="5"/>
    </row>
    <row r="102" spans="1:14">
      <c r="I102" s="5"/>
      <c r="J102" s="276"/>
      <c r="K102" s="5"/>
    </row>
    <row r="103" spans="1:14">
      <c r="I103" s="5"/>
      <c r="J103" s="72"/>
      <c r="K103" s="5"/>
    </row>
    <row r="104" spans="1:14">
      <c r="I104" s="5"/>
      <c r="J104" s="72"/>
      <c r="K104" s="5"/>
    </row>
    <row r="105" spans="1:14">
      <c r="I105" s="5"/>
      <c r="J105" s="5"/>
      <c r="K105" s="5"/>
    </row>
    <row r="106" spans="1:14">
      <c r="I106" s="5"/>
      <c r="J106" s="5"/>
      <c r="K106" s="5"/>
    </row>
    <row r="107" spans="1:14">
      <c r="I107" s="5"/>
      <c r="J107" s="5"/>
      <c r="K107" s="5"/>
    </row>
    <row r="108" spans="1:14">
      <c r="I108" s="5"/>
      <c r="J108" s="5"/>
      <c r="K108" s="5"/>
    </row>
    <row r="109" spans="1:14">
      <c r="I109" s="5"/>
      <c r="J109" s="5"/>
      <c r="K109" s="5"/>
    </row>
    <row r="110" spans="1:14">
      <c r="I110" s="5"/>
      <c r="J110" s="5"/>
      <c r="K110" s="5"/>
    </row>
    <row r="111" spans="1:14">
      <c r="I111" s="5"/>
      <c r="J111" s="5"/>
      <c r="K111" s="5"/>
    </row>
    <row r="112" spans="1:14">
      <c r="I112" s="5"/>
      <c r="J112" s="5"/>
      <c r="K112" s="5"/>
    </row>
  </sheetData>
  <mergeCells count="13">
    <mergeCell ref="J67:K67"/>
    <mergeCell ref="E67:F67"/>
    <mergeCell ref="B67:C67"/>
    <mergeCell ref="A33:L33"/>
    <mergeCell ref="A1:L1"/>
    <mergeCell ref="J9:K9"/>
    <mergeCell ref="H9:I9"/>
    <mergeCell ref="F9:G9"/>
    <mergeCell ref="H75:K75"/>
    <mergeCell ref="I69:K69"/>
    <mergeCell ref="A53:F53"/>
    <mergeCell ref="I53:K53"/>
    <mergeCell ref="A69:C69"/>
  </mergeCells>
  <phoneticPr fontId="0" type="noConversion"/>
  <conditionalFormatting sqref="G12:G22">
    <cfRule type="cellIs" dxfId="5" priority="1" stopIfTrue="1" operator="equal">
      <formula>$F12</formula>
    </cfRule>
  </conditionalFormatting>
  <conditionalFormatting sqref="G11">
    <cfRule type="cellIs" dxfId="4" priority="2" stopIfTrue="1" operator="equal">
      <formula>$F$11</formula>
    </cfRule>
  </conditionalFormatting>
  <conditionalFormatting sqref="E41 E35:E39">
    <cfRule type="cellIs" dxfId="3" priority="3" stopIfTrue="1" operator="notEqual">
      <formula>"N/A"</formula>
    </cfRule>
  </conditionalFormatting>
  <conditionalFormatting sqref="E42">
    <cfRule type="cellIs" dxfId="2" priority="4" stopIfTrue="1" operator="notEqual">
      <formula>"Exemption Possible -- is technology Designated?"</formula>
    </cfRule>
  </conditionalFormatting>
  <conditionalFormatting sqref="E43">
    <cfRule type="cellIs" dxfId="1" priority="5" stopIfTrue="1" operator="notEqual">
      <formula>"Eligible - See Estimates Below"</formula>
    </cfRule>
  </conditionalFormatting>
  <dataValidations disablePrompts="1" xWindow="268" yWindow="219" count="9">
    <dataValidation type="custom" errorStyle="warning" allowBlank="1" showInputMessage="1" showErrorMessage="1" errorTitle="Contract demand level too low!" error="Contract demand level represents total underlying demand for the site, regardless of whether CHP is intalled. Usually it should be at least as large as the highest monthly peak demand. See the manual for help." promptTitle="Contract Demand Level" prompt="A site's maximum potential demand is almost always at least as large as its maximum as-used demand, and historical peak. Do not underestimate! See the manual for help." sqref="C17">
      <formula1>(CD_level&gt;(MAX(F11:F22)-1))</formula1>
    </dataValidation>
    <dataValidation type="decimal" errorStyle="warning" allowBlank="1" showErrorMessage="1" errorTitle="Off Peak Commodity Cost" error="kWh Price Seems High:_x000d_Should be decimal of $1.00, and lower than peak price._x000d_" sqref="K11:K22">
      <formula1>0.00001</formula1>
      <formula2>1*J11</formula2>
    </dataValidation>
    <dataValidation allowBlank="1" showInputMessage="1" showErrorMessage="1" promptTitle="Info Only - Do Not Change" prompt="This cell simply tells you the maximum of monthly peaks entered from your bills. It is not used in the calculation, so there is no need to modify it. " sqref="C18"/>
    <dataValidation type="custom" allowBlank="1" showInputMessage="1" showErrorMessage="1" error="Must be less than $1.00" sqref="J11:J22">
      <formula1>J11&lt;1</formula1>
    </dataValidation>
    <dataValidation type="date" errorStyle="warning" operator="greaterThan" allowBlank="1" showErrorMessage="1" errorTitle="Date Format" error="Must be in the format DD/MM/YYYY, and be after January 1, 2000. _x000d_" promptTitle="mm/dd/yyyy" prompt="Enter the projected date of initial operation." sqref="E30">
      <formula1>36526</formula1>
    </dataValidation>
    <dataValidation type="decimal" errorStyle="warning" allowBlank="1" showInputMessage="1" showErrorMessage="1" errorTitle="Parasitic Load (Percent) " error="Typical parasitic load is set at 5% (of your generator's nameplate). The minumum value is 0, and the maximum allowed entry is 10% of nameplate. " promptTitle="Parasitic Load" prompt="Most generators use power in the process of producing it. An average assumption of this power loss is 5%, but may be lower (for large gas turbines) or higher (for microturbines, especially in warm weather). See Manual. " sqref="K24">
      <formula1>0</formula1>
      <formula2>0.1</formula2>
    </dataValidation>
    <dataValidation allowBlank="1" showInputMessage="1" showErrorMessage="1" promptTitle="Induction Generator Minimum Draw" prompt="Induction generators require a minimum load to operate correctly. If you are planning an induction type system and interconnection, enter either the minimum required by the utility, or by the manufacturer, whichever is higher." sqref="K26"/>
    <dataValidation type="decimal" errorStyle="warning" allowBlank="1" showInputMessage="1" showErrorMessage="1" errorTitle="Advanced Users Only" promptTitle="Demand Discount Factor" prompt="This factor helps estimate the site's average daily peak demand by discounting its monthly peak demand. You may enter another value if your site's load is different than typical. See manual for explanation. " sqref="C21">
      <formula1>0.2</formula1>
      <formula2>1</formula2>
    </dataValidation>
    <dataValidation errorStyle="information" allowBlank="1" showInputMessage="1" showErrorMessage="1" promptTitle="Input Not Necessary " prompt="For most users, there is no difference between the monthly peak and the Period 2 peak, and entering only the monthly peaks is sufficient. " sqref="G11"/>
  </dataValidations>
  <printOptions horizontalCentered="1"/>
  <pageMargins left="0.5" right="0.5" top="0.75" bottom="0.75" header="0.5" footer="0.5"/>
  <pageSetup scale="69" orientation="portrait"/>
  <headerFooter>
    <oddHeader>&amp;L&amp;F&amp;R(This spreadsheet should be used in conjunction with the Standby Rate Manual, in particular its User's Guide.)</oddHeader>
    <oddFooter>&amp;C&amp;"Arial,Bold"&amp;A</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103" r:id="rId3" name="Check Box 79">
              <controlPr defaultSize="0" autoFill="0" autoLine="0" autoPict="0" altText=" Click YES if site uses electric chilling">
                <anchor moveWithCells="1">
                  <from>
                    <xdr:col>10</xdr:col>
                    <xdr:colOff>0</xdr:colOff>
                    <xdr:row>26</xdr:row>
                    <xdr:rowOff>127000</xdr:rowOff>
                  </from>
                  <to>
                    <xdr:col>11</xdr:col>
                    <xdr:colOff>0</xdr:colOff>
                    <xdr:row>28</xdr:row>
                    <xdr:rowOff>38100</xdr:rowOff>
                  </to>
                </anchor>
              </controlPr>
            </control>
          </mc:Choice>
          <mc:Fallback/>
        </mc:AlternateContent>
        <mc:AlternateContent xmlns:mc="http://schemas.openxmlformats.org/markup-compatibility/2006">
          <mc:Choice Requires="x14">
            <control shapeId="1027" r:id="rId4" name="Drop Down 3">
              <controlPr defaultSize="0" autoLine="0" autoPict="0">
                <anchor moveWithCells="1">
                  <from>
                    <xdr:col>4</xdr:col>
                    <xdr:colOff>0</xdr:colOff>
                    <xdr:row>3</xdr:row>
                    <xdr:rowOff>0</xdr:rowOff>
                  </from>
                  <to>
                    <xdr:col>5</xdr:col>
                    <xdr:colOff>571500</xdr:colOff>
                    <xdr:row>4</xdr:row>
                    <xdr:rowOff>38100</xdr:rowOff>
                  </to>
                </anchor>
              </controlPr>
            </control>
          </mc:Choice>
          <mc:Fallback/>
        </mc:AlternateContent>
        <mc:AlternateContent xmlns:mc="http://schemas.openxmlformats.org/markup-compatibility/2006">
          <mc:Choice Requires="x14">
            <control shapeId="1033" r:id="rId5" name="Drop Down 9">
              <controlPr defaultSize="0" autoLine="0" autoPict="0">
                <anchor moveWithCells="1">
                  <from>
                    <xdr:col>4</xdr:col>
                    <xdr:colOff>0</xdr:colOff>
                    <xdr:row>5</xdr:row>
                    <xdr:rowOff>0</xdr:rowOff>
                  </from>
                  <to>
                    <xdr:col>5</xdr:col>
                    <xdr:colOff>571500</xdr:colOff>
                    <xdr:row>6</xdr:row>
                    <xdr:rowOff>38100</xdr:rowOff>
                  </to>
                </anchor>
              </controlPr>
            </control>
          </mc:Choice>
          <mc:Fallback/>
        </mc:AlternateContent>
        <mc:AlternateContent xmlns:mc="http://schemas.openxmlformats.org/markup-compatibility/2006">
          <mc:Choice Requires="x14">
            <control shapeId="1056" r:id="rId6" name="Drop Down 32">
              <controlPr defaultSize="0" autoLine="0" autoPict="0">
                <anchor moveWithCells="1">
                  <from>
                    <xdr:col>9</xdr:col>
                    <xdr:colOff>0</xdr:colOff>
                    <xdr:row>3</xdr:row>
                    <xdr:rowOff>0</xdr:rowOff>
                  </from>
                  <to>
                    <xdr:col>10</xdr:col>
                    <xdr:colOff>571500</xdr:colOff>
                    <xdr:row>4</xdr:row>
                    <xdr:rowOff>50800</xdr:rowOff>
                  </to>
                </anchor>
              </controlPr>
            </control>
          </mc:Choice>
          <mc:Fallback/>
        </mc:AlternateContent>
        <mc:AlternateContent xmlns:mc="http://schemas.openxmlformats.org/markup-compatibility/2006">
          <mc:Choice Requires="x14">
            <control shapeId="1102" r:id="rId7" name="Check Box 78">
              <controlPr defaultSize="0" autoFill="0" autoLine="0" autoPict="0" altText=" Click YES if site uses electric chilling">
                <anchor moveWithCells="1">
                  <from>
                    <xdr:col>9</xdr:col>
                    <xdr:colOff>0</xdr:colOff>
                    <xdr:row>4</xdr:row>
                    <xdr:rowOff>127000</xdr:rowOff>
                  </from>
                  <to>
                    <xdr:col>10</xdr:col>
                    <xdr:colOff>0</xdr:colOff>
                    <xdr:row>6</xdr:row>
                    <xdr:rowOff>25400</xdr:rowOff>
                  </to>
                </anchor>
              </controlPr>
            </control>
          </mc:Choice>
          <mc:Fallback/>
        </mc:AlternateContent>
        <mc:AlternateContent xmlns:mc="http://schemas.openxmlformats.org/markup-compatibility/2006">
          <mc:Choice Requires="x14">
            <control shapeId="1104" r:id="rId8" name="Check Box 80">
              <controlPr defaultSize="0" autoFill="0" autoLine="0" autoPict="0" altText=" Click YES if site uses electric chilling">
                <anchor moveWithCells="1">
                  <from>
                    <xdr:col>10</xdr:col>
                    <xdr:colOff>0</xdr:colOff>
                    <xdr:row>28</xdr:row>
                    <xdr:rowOff>139700</xdr:rowOff>
                  </from>
                  <to>
                    <xdr:col>11</xdr:col>
                    <xdr:colOff>0</xdr:colOff>
                    <xdr:row>30</xdr:row>
                    <xdr:rowOff>38100</xdr:rowOff>
                  </to>
                </anchor>
              </controlPr>
            </control>
          </mc:Choice>
          <mc:Fallback/>
        </mc:AlternateContent>
        <mc:AlternateContent xmlns:mc="http://schemas.openxmlformats.org/markup-compatibility/2006">
          <mc:Choice Requires="x14">
            <control shapeId="1118" r:id="rId9" name="Drop Down 94">
              <controlPr defaultSize="0" autoLine="0" autoPict="0">
                <anchor moveWithCells="1">
                  <from>
                    <xdr:col>4</xdr:col>
                    <xdr:colOff>0</xdr:colOff>
                    <xdr:row>27</xdr:row>
                    <xdr:rowOff>0</xdr:rowOff>
                  </from>
                  <to>
                    <xdr:col>5</xdr:col>
                    <xdr:colOff>482600</xdr:colOff>
                    <xdr:row>28</xdr:row>
                    <xdr:rowOff>50800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dimension ref="A1:AW86"/>
  <sheetViews>
    <sheetView topLeftCell="L1" zoomScale="85" workbookViewId="0">
      <selection activeCell="AA32" sqref="AA32"/>
    </sheetView>
  </sheetViews>
  <sheetFormatPr baseColWidth="10" defaultColWidth="8.83203125" defaultRowHeight="12" x14ac:dyDescent="0"/>
  <cols>
    <col min="1" max="49" width="9.6640625" customWidth="1"/>
  </cols>
  <sheetData>
    <row r="1" spans="1:49">
      <c r="D1" s="138">
        <v>1</v>
      </c>
      <c r="E1" s="138">
        <v>2</v>
      </c>
      <c r="F1" s="138">
        <v>3</v>
      </c>
      <c r="G1" s="138">
        <v>4</v>
      </c>
      <c r="H1" s="138">
        <v>5</v>
      </c>
      <c r="I1" s="138">
        <v>6</v>
      </c>
      <c r="J1" s="138">
        <v>7</v>
      </c>
      <c r="K1" s="138">
        <v>8</v>
      </c>
      <c r="L1" s="138">
        <v>9</v>
      </c>
      <c r="M1" s="138">
        <v>10</v>
      </c>
      <c r="N1" s="138">
        <v>11</v>
      </c>
      <c r="O1" s="138">
        <v>12</v>
      </c>
      <c r="P1" s="138">
        <v>13</v>
      </c>
      <c r="Q1" s="138">
        <v>14</v>
      </c>
      <c r="R1" s="138">
        <v>15</v>
      </c>
      <c r="S1" s="138">
        <v>16</v>
      </c>
      <c r="T1" s="138">
        <v>17</v>
      </c>
      <c r="U1" s="138">
        <v>18</v>
      </c>
      <c r="V1" s="138">
        <v>19</v>
      </c>
      <c r="W1" s="138">
        <v>20</v>
      </c>
      <c r="X1" s="138">
        <v>21</v>
      </c>
      <c r="Y1" s="138">
        <v>22</v>
      </c>
      <c r="Z1" s="138">
        <v>23</v>
      </c>
      <c r="AA1" s="138">
        <v>24</v>
      </c>
      <c r="AB1" s="138">
        <v>25</v>
      </c>
      <c r="AC1" s="138">
        <v>26</v>
      </c>
      <c r="AD1" s="138">
        <v>27</v>
      </c>
      <c r="AE1" s="138">
        <v>28</v>
      </c>
      <c r="AF1" s="138">
        <v>29</v>
      </c>
      <c r="AG1" s="138">
        <v>30</v>
      </c>
      <c r="AH1" s="138">
        <v>31</v>
      </c>
      <c r="AI1" s="138">
        <v>32</v>
      </c>
      <c r="AJ1" s="138">
        <v>33</v>
      </c>
      <c r="AK1" s="138">
        <v>34</v>
      </c>
      <c r="AL1" s="138">
        <v>35</v>
      </c>
      <c r="AM1" s="138">
        <v>36</v>
      </c>
      <c r="AN1" s="138">
        <v>37</v>
      </c>
      <c r="AO1" s="138">
        <v>38</v>
      </c>
      <c r="AP1" s="138">
        <v>39</v>
      </c>
      <c r="AQ1" s="138">
        <v>40</v>
      </c>
      <c r="AR1" s="138">
        <v>41</v>
      </c>
      <c r="AS1" s="138">
        <v>42</v>
      </c>
      <c r="AT1" s="138">
        <v>43</v>
      </c>
      <c r="AU1" s="138">
        <v>44</v>
      </c>
      <c r="AV1" s="138">
        <v>45</v>
      </c>
      <c r="AW1" s="138">
        <v>46</v>
      </c>
    </row>
    <row r="2" spans="1:49">
      <c r="D2" s="8" t="s">
        <v>50</v>
      </c>
      <c r="O2" s="8" t="s">
        <v>48</v>
      </c>
      <c r="AJ2" s="104">
        <v>100</v>
      </c>
      <c r="AK2" s="1" t="s">
        <v>94</v>
      </c>
    </row>
    <row r="3" spans="1:49">
      <c r="A3" s="8" t="s">
        <v>82</v>
      </c>
      <c r="D3" s="47" t="s">
        <v>50</v>
      </c>
      <c r="E3" s="48"/>
      <c r="F3" s="48"/>
      <c r="G3" s="48"/>
      <c r="H3" s="48"/>
      <c r="I3" s="48"/>
      <c r="J3" s="51" t="s">
        <v>66</v>
      </c>
      <c r="K3" s="52"/>
      <c r="L3" s="52"/>
      <c r="M3" s="52"/>
      <c r="N3" s="54"/>
      <c r="O3" s="49" t="s">
        <v>379</v>
      </c>
      <c r="P3" s="50"/>
      <c r="Q3" s="50"/>
      <c r="R3" s="50"/>
      <c r="S3" s="50"/>
      <c r="T3" s="50"/>
      <c r="U3" s="50"/>
      <c r="V3" s="50"/>
      <c r="W3" s="50"/>
      <c r="X3" s="50"/>
      <c r="Y3" s="50"/>
      <c r="Z3" s="50"/>
      <c r="AA3" s="50"/>
      <c r="AB3" s="50"/>
      <c r="AC3" s="50"/>
      <c r="AD3" s="50"/>
      <c r="AE3" s="50"/>
      <c r="AF3" s="50"/>
      <c r="AG3" s="366" t="s">
        <v>93</v>
      </c>
      <c r="AH3" s="367"/>
      <c r="AI3" s="61"/>
      <c r="AJ3" s="61"/>
      <c r="AK3" s="61"/>
      <c r="AL3" s="61"/>
      <c r="AM3" s="112"/>
      <c r="AN3" s="112"/>
      <c r="AO3" s="112"/>
      <c r="AP3" s="112"/>
      <c r="AQ3" s="112"/>
      <c r="AR3" s="112"/>
      <c r="AS3" s="112"/>
      <c r="AT3" s="124" t="s">
        <v>2</v>
      </c>
      <c r="AU3" s="124" t="s">
        <v>206</v>
      </c>
      <c r="AV3" s="124" t="s">
        <v>112</v>
      </c>
      <c r="AW3" s="124"/>
    </row>
    <row r="4" spans="1:49">
      <c r="F4" s="493" t="s">
        <v>27</v>
      </c>
      <c r="G4" s="493"/>
      <c r="H4" s="493" t="s">
        <v>28</v>
      </c>
      <c r="I4" s="493"/>
      <c r="O4" s="494" t="s">
        <v>27</v>
      </c>
      <c r="P4" s="494"/>
      <c r="Q4" s="494"/>
      <c r="R4" s="494"/>
      <c r="S4" s="496" t="s">
        <v>28</v>
      </c>
      <c r="T4" s="496"/>
      <c r="U4" s="496"/>
      <c r="V4" s="496"/>
      <c r="W4" s="64" t="s">
        <v>103</v>
      </c>
      <c r="X4" s="65"/>
      <c r="Y4" s="65"/>
      <c r="Z4" s="66"/>
      <c r="AA4" s="495" t="s">
        <v>27</v>
      </c>
      <c r="AB4" s="494"/>
      <c r="AC4" s="494"/>
      <c r="AD4" s="496" t="s">
        <v>28</v>
      </c>
      <c r="AE4" s="496"/>
      <c r="AF4" s="496"/>
      <c r="AG4" s="497" t="s">
        <v>27</v>
      </c>
      <c r="AH4" s="495"/>
      <c r="AI4" s="496" t="s">
        <v>28</v>
      </c>
      <c r="AJ4" s="496"/>
      <c r="AK4" s="64" t="s">
        <v>104</v>
      </c>
      <c r="AL4" s="73"/>
      <c r="AM4" s="495" t="s">
        <v>27</v>
      </c>
      <c r="AN4" s="495"/>
      <c r="AO4" s="495"/>
      <c r="AP4" s="496" t="s">
        <v>28</v>
      </c>
      <c r="AQ4" s="496"/>
      <c r="AR4" s="30"/>
      <c r="AS4" s="30"/>
      <c r="AT4" s="53" t="s">
        <v>2</v>
      </c>
      <c r="AU4" s="53" t="s">
        <v>206</v>
      </c>
      <c r="AV4" t="s">
        <v>147</v>
      </c>
      <c r="AW4" t="s">
        <v>165</v>
      </c>
    </row>
    <row r="5" spans="1:49">
      <c r="A5" s="1"/>
      <c r="B5" s="20">
        <v>8</v>
      </c>
      <c r="D5" s="5" t="s">
        <v>30</v>
      </c>
      <c r="E5" t="s">
        <v>31</v>
      </c>
      <c r="F5" t="s">
        <v>32</v>
      </c>
      <c r="G5" t="s">
        <v>33</v>
      </c>
      <c r="H5" t="s">
        <v>32</v>
      </c>
      <c r="I5" t="s">
        <v>33</v>
      </c>
      <c r="J5" s="21" t="s">
        <v>71</v>
      </c>
      <c r="K5" s="21" t="s">
        <v>72</v>
      </c>
      <c r="L5" s="21" t="s">
        <v>73</v>
      </c>
      <c r="M5" s="21" t="s">
        <v>74</v>
      </c>
      <c r="O5" s="21" t="s">
        <v>84</v>
      </c>
      <c r="P5" s="21" t="s">
        <v>85</v>
      </c>
      <c r="Q5" s="21" t="s">
        <v>86</v>
      </c>
      <c r="R5" s="21" t="s">
        <v>87</v>
      </c>
      <c r="S5" s="21" t="s">
        <v>84</v>
      </c>
      <c r="T5" s="21" t="s">
        <v>85</v>
      </c>
      <c r="U5" s="21" t="s">
        <v>86</v>
      </c>
      <c r="V5" s="21" t="s">
        <v>87</v>
      </c>
      <c r="W5" s="67" t="s">
        <v>84</v>
      </c>
      <c r="X5" s="68" t="s">
        <v>85</v>
      </c>
      <c r="Y5" s="68" t="s">
        <v>86</v>
      </c>
      <c r="Z5" s="69" t="s">
        <v>87</v>
      </c>
      <c r="AA5" s="40" t="s">
        <v>88</v>
      </c>
      <c r="AB5" s="40" t="s">
        <v>89</v>
      </c>
      <c r="AC5" s="40" t="s">
        <v>90</v>
      </c>
      <c r="AD5" s="40" t="s">
        <v>88</v>
      </c>
      <c r="AE5" s="40" t="s">
        <v>89</v>
      </c>
      <c r="AF5" s="40" t="s">
        <v>90</v>
      </c>
      <c r="AG5" s="214" t="s">
        <v>84</v>
      </c>
      <c r="AH5" s="216" t="s">
        <v>85</v>
      </c>
      <c r="AI5" s="21" t="s">
        <v>84</v>
      </c>
      <c r="AJ5" s="21" t="s">
        <v>85</v>
      </c>
      <c r="AK5" s="67" t="s">
        <v>84</v>
      </c>
      <c r="AL5" s="69" t="s">
        <v>85</v>
      </c>
      <c r="AM5" s="197" t="s">
        <v>88</v>
      </c>
      <c r="AN5" s="40" t="s">
        <v>89</v>
      </c>
      <c r="AO5" s="40" t="s">
        <v>380</v>
      </c>
      <c r="AP5" s="40" t="s">
        <v>89</v>
      </c>
      <c r="AQ5" s="40" t="s">
        <v>380</v>
      </c>
      <c r="AR5" s="40"/>
      <c r="AS5" s="40"/>
      <c r="AT5" s="53" t="s">
        <v>95</v>
      </c>
      <c r="AU5" s="53" t="s">
        <v>95</v>
      </c>
      <c r="AV5" t="s">
        <v>148</v>
      </c>
      <c r="AW5" t="s">
        <v>148</v>
      </c>
    </row>
    <row r="6" spans="1:49">
      <c r="A6" s="386" t="s">
        <v>385</v>
      </c>
      <c r="B6" s="491" t="s">
        <v>18</v>
      </c>
      <c r="C6" s="491"/>
      <c r="D6" s="5">
        <v>207.43</v>
      </c>
      <c r="E6">
        <v>5.26</v>
      </c>
      <c r="F6">
        <v>0.33689999999999998</v>
      </c>
      <c r="G6">
        <v>0.72250000000000003</v>
      </c>
      <c r="I6">
        <v>0.50239999999999996</v>
      </c>
      <c r="J6" s="145"/>
      <c r="K6" s="146"/>
      <c r="L6" s="145"/>
      <c r="M6" s="145"/>
      <c r="O6" s="44">
        <v>18.79</v>
      </c>
      <c r="P6" s="44">
        <v>17.88</v>
      </c>
      <c r="Q6" s="44">
        <v>16.989999999999998</v>
      </c>
      <c r="R6" s="44">
        <v>15.86</v>
      </c>
      <c r="S6" s="44">
        <v>14.93</v>
      </c>
      <c r="T6" s="44">
        <v>14.03</v>
      </c>
      <c r="U6" s="44">
        <v>13.13</v>
      </c>
      <c r="V6" s="44">
        <v>12.01</v>
      </c>
      <c r="W6" s="436">
        <v>100</v>
      </c>
      <c r="X6" s="437">
        <v>800</v>
      </c>
      <c r="Y6" s="437">
        <v>1100</v>
      </c>
      <c r="Z6" s="438" t="s">
        <v>114</v>
      </c>
      <c r="AA6" s="45"/>
      <c r="AB6" s="45"/>
      <c r="AC6" s="45"/>
      <c r="AD6" s="45"/>
      <c r="AE6" s="45"/>
      <c r="AF6" s="45"/>
      <c r="AG6" s="71">
        <f>1.52/$AJ$2</f>
        <v>1.52E-2</v>
      </c>
      <c r="AH6" s="72">
        <f>1.52/$AJ$2</f>
        <v>1.52E-2</v>
      </c>
      <c r="AI6" s="45">
        <f>1.52/$AJ$2</f>
        <v>1.52E-2</v>
      </c>
      <c r="AJ6" s="45">
        <f>1.52/$AJ$2</f>
        <v>1.52E-2</v>
      </c>
      <c r="AK6" s="87">
        <v>800000</v>
      </c>
      <c r="AL6" s="70" t="s">
        <v>114</v>
      </c>
      <c r="AM6" s="45"/>
      <c r="AN6" s="45"/>
      <c r="AO6" s="45"/>
      <c r="AP6" s="45"/>
      <c r="AQ6" s="45"/>
      <c r="AR6" s="45"/>
      <c r="AS6" s="45"/>
      <c r="AT6" s="45">
        <f>SBC/$AJ$2</f>
        <v>1.7000000000000001E-3</v>
      </c>
      <c r="AU6" s="45">
        <f>RPS/$AJ$2</f>
        <v>5.9999999999999995E-4</v>
      </c>
    </row>
    <row r="7" spans="1:49">
      <c r="A7" s="387">
        <v>39595</v>
      </c>
      <c r="B7" s="491" t="s">
        <v>19</v>
      </c>
      <c r="C7" s="491"/>
      <c r="D7" s="5">
        <v>831.93</v>
      </c>
      <c r="E7">
        <v>5.69</v>
      </c>
      <c r="F7">
        <v>0.32640000000000002</v>
      </c>
      <c r="G7">
        <v>0.68289999999999995</v>
      </c>
      <c r="I7">
        <v>0.51280000000000003</v>
      </c>
      <c r="J7" s="145"/>
      <c r="K7" s="146"/>
      <c r="L7" s="145"/>
      <c r="M7" s="145"/>
      <c r="O7" s="45"/>
      <c r="P7" s="45"/>
      <c r="Q7" s="45"/>
      <c r="R7" s="45"/>
      <c r="S7" s="45"/>
      <c r="T7" s="45"/>
      <c r="U7" s="45"/>
      <c r="V7" s="45"/>
      <c r="W7" s="436"/>
      <c r="X7" s="439"/>
      <c r="Y7" s="439"/>
      <c r="Z7" s="438"/>
      <c r="AA7" s="440">
        <v>5.67</v>
      </c>
      <c r="AB7" s="440">
        <v>10.52</v>
      </c>
      <c r="AC7" s="440">
        <v>11.87</v>
      </c>
      <c r="AD7" s="440"/>
      <c r="AE7" s="440">
        <v>7.79</v>
      </c>
      <c r="AF7" s="440">
        <v>3.78</v>
      </c>
      <c r="AG7" s="71"/>
      <c r="AH7" s="72"/>
      <c r="AI7" s="45"/>
      <c r="AJ7" s="45"/>
      <c r="AK7" s="71"/>
      <c r="AL7" s="70"/>
      <c r="AM7" s="45"/>
      <c r="AN7" s="45">
        <f t="shared" ref="AN7:AQ8" si="0">0.58/$AJ$2</f>
        <v>5.7999999999999996E-3</v>
      </c>
      <c r="AO7" s="45">
        <f t="shared" si="0"/>
        <v>5.7999999999999996E-3</v>
      </c>
      <c r="AP7" s="45">
        <f t="shared" si="0"/>
        <v>5.7999999999999996E-3</v>
      </c>
      <c r="AQ7" s="45">
        <f t="shared" si="0"/>
        <v>5.7999999999999996E-3</v>
      </c>
      <c r="AR7" s="45"/>
      <c r="AS7" s="45"/>
      <c r="AT7" s="45">
        <f t="shared" ref="AT7:AT17" si="1">SBC/$AJ$2</f>
        <v>1.7000000000000001E-3</v>
      </c>
      <c r="AU7" s="45">
        <f t="shared" ref="AU7:AU17" si="2">RPS/$AJ$2</f>
        <v>5.9999999999999995E-4</v>
      </c>
    </row>
    <row r="8" spans="1:49">
      <c r="B8" s="491" t="s">
        <v>20</v>
      </c>
      <c r="C8" s="491"/>
      <c r="D8" s="384">
        <f t="shared" ref="D8:I8" si="3">D6</f>
        <v>207.43</v>
      </c>
      <c r="E8" s="14">
        <f t="shared" si="3"/>
        <v>5.26</v>
      </c>
      <c r="F8" s="14">
        <f t="shared" si="3"/>
        <v>0.33689999999999998</v>
      </c>
      <c r="G8" s="14">
        <f t="shared" si="3"/>
        <v>0.72250000000000003</v>
      </c>
      <c r="H8" s="14">
        <f t="shared" si="3"/>
        <v>0</v>
      </c>
      <c r="I8" s="14">
        <f t="shared" si="3"/>
        <v>0.50239999999999996</v>
      </c>
      <c r="J8" s="145"/>
      <c r="K8" s="145"/>
      <c r="L8" s="145"/>
      <c r="M8" s="145"/>
      <c r="O8" s="108"/>
      <c r="P8" s="108"/>
      <c r="Q8" s="108"/>
      <c r="R8" s="108"/>
      <c r="S8" s="108"/>
      <c r="T8" s="108"/>
      <c r="U8" s="108"/>
      <c r="V8" s="108"/>
      <c r="W8" s="441"/>
      <c r="X8" s="442"/>
      <c r="Y8" s="442"/>
      <c r="Z8" s="443"/>
      <c r="AA8" s="444">
        <v>5.79</v>
      </c>
      <c r="AB8" s="444">
        <v>12.51</v>
      </c>
      <c r="AC8" s="444">
        <v>11.39</v>
      </c>
      <c r="AD8" s="444"/>
      <c r="AE8" s="444">
        <v>9.08</v>
      </c>
      <c r="AF8" s="444">
        <v>2.98</v>
      </c>
      <c r="AG8" s="109"/>
      <c r="AH8" s="196"/>
      <c r="AI8" s="108"/>
      <c r="AJ8" s="108"/>
      <c r="AK8" s="109"/>
      <c r="AL8" s="110"/>
      <c r="AM8" s="108"/>
      <c r="AN8" s="108">
        <f t="shared" si="0"/>
        <v>5.7999999999999996E-3</v>
      </c>
      <c r="AO8" s="108">
        <f t="shared" si="0"/>
        <v>5.7999999999999996E-3</v>
      </c>
      <c r="AP8" s="108">
        <f t="shared" si="0"/>
        <v>5.7999999999999996E-3</v>
      </c>
      <c r="AQ8" s="108">
        <f t="shared" si="0"/>
        <v>5.7999999999999996E-3</v>
      </c>
      <c r="AR8" s="108"/>
      <c r="AS8" s="108"/>
      <c r="AT8" s="45">
        <f t="shared" si="1"/>
        <v>1.7000000000000001E-3</v>
      </c>
      <c r="AU8" s="45">
        <f t="shared" si="2"/>
        <v>5.9999999999999995E-4</v>
      </c>
    </row>
    <row r="9" spans="1:49">
      <c r="B9" s="492" t="s">
        <v>21</v>
      </c>
      <c r="C9" s="492"/>
      <c r="D9" s="5">
        <v>248.13</v>
      </c>
      <c r="E9">
        <v>4.75</v>
      </c>
      <c r="F9">
        <v>0.3427</v>
      </c>
      <c r="G9">
        <v>0.80420000000000003</v>
      </c>
      <c r="I9">
        <v>0.50219999999999998</v>
      </c>
      <c r="J9" s="145"/>
      <c r="K9" s="146"/>
      <c r="L9" s="145"/>
      <c r="M9" s="145"/>
      <c r="N9" s="445"/>
      <c r="O9" s="446">
        <v>19.38</v>
      </c>
      <c r="P9" s="446">
        <v>17.93</v>
      </c>
      <c r="Q9" s="447"/>
      <c r="R9" s="447"/>
      <c r="S9" s="446">
        <v>15.17</v>
      </c>
      <c r="T9" s="446">
        <v>13.72</v>
      </c>
      <c r="U9" s="447"/>
      <c r="V9" s="447"/>
      <c r="W9" s="436">
        <v>100</v>
      </c>
      <c r="X9" s="437" t="s">
        <v>114</v>
      </c>
      <c r="Y9" s="439"/>
      <c r="Z9" s="438"/>
      <c r="AA9" s="447"/>
      <c r="AB9" s="447"/>
      <c r="AC9" s="448"/>
      <c r="AD9" s="447"/>
      <c r="AE9" s="447"/>
      <c r="AF9" s="447"/>
      <c r="AG9" s="449">
        <v>1.2E-2</v>
      </c>
      <c r="AH9" s="449">
        <v>1.2E-2</v>
      </c>
      <c r="AI9" s="449">
        <v>1.2E-2</v>
      </c>
      <c r="AJ9" s="449">
        <v>1.2E-2</v>
      </c>
      <c r="AK9" s="449" t="s">
        <v>114</v>
      </c>
      <c r="AL9" s="450"/>
      <c r="AM9" s="447"/>
      <c r="AN9" s="447"/>
      <c r="AO9" s="447"/>
      <c r="AP9" s="447"/>
      <c r="AQ9" s="447"/>
      <c r="AR9" s="45"/>
      <c r="AS9" s="45"/>
      <c r="AT9" s="45">
        <f t="shared" si="1"/>
        <v>1.7000000000000001E-3</v>
      </c>
      <c r="AU9" s="45">
        <f t="shared" si="2"/>
        <v>5.9999999999999995E-4</v>
      </c>
    </row>
    <row r="10" spans="1:49">
      <c r="B10" s="492" t="s">
        <v>22</v>
      </c>
      <c r="C10" s="492"/>
      <c r="D10" s="5">
        <v>886.8</v>
      </c>
      <c r="E10">
        <v>4.75</v>
      </c>
      <c r="F10">
        <v>0.34899999999999998</v>
      </c>
      <c r="G10">
        <v>0.80910000000000004</v>
      </c>
      <c r="I10">
        <v>0.48520000000000002</v>
      </c>
      <c r="J10" s="145"/>
      <c r="K10" s="146"/>
      <c r="L10" s="145"/>
      <c r="M10" s="145"/>
      <c r="N10" s="445"/>
      <c r="O10" s="447"/>
      <c r="P10" s="447"/>
      <c r="Q10" s="447"/>
      <c r="R10" s="447"/>
      <c r="S10" s="447"/>
      <c r="T10" s="447"/>
      <c r="U10" s="447"/>
      <c r="V10" s="447"/>
      <c r="W10" s="436"/>
      <c r="X10" s="439"/>
      <c r="Y10" s="439"/>
      <c r="Z10" s="438"/>
      <c r="AA10" s="440">
        <v>5.0599999999999996</v>
      </c>
      <c r="AB10" s="440">
        <v>9.75</v>
      </c>
      <c r="AC10" s="440">
        <v>12.36</v>
      </c>
      <c r="AD10" s="447"/>
      <c r="AE10" s="440">
        <v>6.47</v>
      </c>
      <c r="AF10" s="440">
        <v>4.53</v>
      </c>
      <c r="AG10" s="449"/>
      <c r="AH10" s="439"/>
      <c r="AI10" s="447"/>
      <c r="AJ10" s="447"/>
      <c r="AK10" s="449"/>
      <c r="AL10" s="450"/>
      <c r="AM10" s="447"/>
      <c r="AN10" s="447">
        <v>5.7999999999999996E-3</v>
      </c>
      <c r="AO10" s="447">
        <v>5.7999999999999996E-3</v>
      </c>
      <c r="AP10" s="447">
        <v>5.7999999999999996E-3</v>
      </c>
      <c r="AQ10" s="447">
        <v>5.7999999999999996E-3</v>
      </c>
      <c r="AR10" s="45"/>
      <c r="AS10" s="45"/>
      <c r="AT10" s="45">
        <f t="shared" si="1"/>
        <v>1.7000000000000001E-3</v>
      </c>
      <c r="AU10" s="45">
        <f t="shared" si="2"/>
        <v>5.9999999999999995E-4</v>
      </c>
    </row>
    <row r="11" spans="1:49">
      <c r="B11" s="492" t="s">
        <v>23</v>
      </c>
      <c r="C11" s="492"/>
      <c r="D11" s="384">
        <f t="shared" ref="D11:I11" si="4">D9</f>
        <v>248.13</v>
      </c>
      <c r="E11" s="14">
        <f t="shared" si="4"/>
        <v>4.75</v>
      </c>
      <c r="F11" s="14">
        <f t="shared" si="4"/>
        <v>0.3427</v>
      </c>
      <c r="G11" s="14">
        <f t="shared" si="4"/>
        <v>0.80420000000000003</v>
      </c>
      <c r="H11" s="14">
        <f t="shared" si="4"/>
        <v>0</v>
      </c>
      <c r="I11" s="14">
        <f t="shared" si="4"/>
        <v>0.50219999999999998</v>
      </c>
      <c r="J11" s="145"/>
      <c r="K11" s="145"/>
      <c r="L11" s="145"/>
      <c r="M11" s="145"/>
      <c r="N11" s="445"/>
      <c r="O11" s="451"/>
      <c r="P11" s="451"/>
      <c r="Q11" s="451"/>
      <c r="R11" s="451"/>
      <c r="S11" s="451"/>
      <c r="T11" s="451"/>
      <c r="U11" s="451"/>
      <c r="V11" s="451"/>
      <c r="W11" s="441"/>
      <c r="X11" s="442"/>
      <c r="Y11" s="442"/>
      <c r="Z11" s="443"/>
      <c r="AA11" s="444">
        <v>5.0199999999999996</v>
      </c>
      <c r="AB11" s="444">
        <v>12.09</v>
      </c>
      <c r="AC11" s="444">
        <v>11.12</v>
      </c>
      <c r="AD11" s="444"/>
      <c r="AE11" s="444">
        <v>8.91</v>
      </c>
      <c r="AF11" s="444">
        <v>3.48</v>
      </c>
      <c r="AG11" s="441"/>
      <c r="AH11" s="442"/>
      <c r="AI11" s="451"/>
      <c r="AJ11" s="451"/>
      <c r="AK11" s="441"/>
      <c r="AL11" s="443"/>
      <c r="AM11" s="451"/>
      <c r="AN11" s="451">
        <v>5.7999999999999996E-3</v>
      </c>
      <c r="AO11" s="451">
        <v>5.7999999999999996E-3</v>
      </c>
      <c r="AP11" s="451">
        <v>5.7999999999999996E-3</v>
      </c>
      <c r="AQ11" s="451">
        <v>5.7999999999999996E-3</v>
      </c>
      <c r="AR11" s="108"/>
      <c r="AS11" s="108"/>
      <c r="AT11" s="45">
        <f t="shared" si="1"/>
        <v>1.7000000000000001E-3</v>
      </c>
      <c r="AU11" s="45">
        <f t="shared" si="2"/>
        <v>5.9999999999999995E-4</v>
      </c>
    </row>
    <row r="12" spans="1:49">
      <c r="B12" s="491" t="s">
        <v>24</v>
      </c>
      <c r="C12" s="491"/>
      <c r="D12" s="5">
        <v>56.21</v>
      </c>
      <c r="E12">
        <v>4.75</v>
      </c>
      <c r="F12">
        <v>0.3528</v>
      </c>
      <c r="G12">
        <v>0.69969999999999999</v>
      </c>
      <c r="I12">
        <v>0.42130000000000001</v>
      </c>
      <c r="J12" s="145"/>
      <c r="K12" s="146"/>
      <c r="L12" s="145"/>
      <c r="M12" s="145"/>
      <c r="O12" s="46">
        <v>15.44</v>
      </c>
      <c r="P12" s="46">
        <v>13.94</v>
      </c>
      <c r="Q12" s="45"/>
      <c r="R12" s="45"/>
      <c r="S12" s="46">
        <v>12.34</v>
      </c>
      <c r="T12" s="46">
        <v>10.83</v>
      </c>
      <c r="U12" s="45"/>
      <c r="V12" s="45"/>
      <c r="W12" s="449">
        <v>900</v>
      </c>
      <c r="X12" s="439" t="s">
        <v>114</v>
      </c>
      <c r="Y12" s="439"/>
      <c r="Z12" s="438"/>
      <c r="AA12" s="45"/>
      <c r="AB12" s="45"/>
      <c r="AC12" s="45"/>
      <c r="AD12" s="45"/>
      <c r="AE12" s="45"/>
      <c r="AF12" s="45"/>
      <c r="AG12" s="71">
        <f>1.65/$AJ$2</f>
        <v>1.6500000000000001E-2</v>
      </c>
      <c r="AH12" s="72">
        <f>1.65/$AJ$2</f>
        <v>1.6500000000000001E-2</v>
      </c>
      <c r="AI12" s="72">
        <f>1.65/$AJ$2</f>
        <v>1.6500000000000001E-2</v>
      </c>
      <c r="AJ12" s="70">
        <f>1.65/$AJ$2</f>
        <v>1.6500000000000001E-2</v>
      </c>
      <c r="AK12" s="230">
        <v>15000</v>
      </c>
      <c r="AL12" s="70" t="s">
        <v>114</v>
      </c>
      <c r="AM12" s="45"/>
      <c r="AN12" s="45"/>
      <c r="AO12" s="45"/>
      <c r="AP12" s="45"/>
      <c r="AQ12" s="45"/>
      <c r="AR12" s="45"/>
      <c r="AS12" s="45"/>
      <c r="AT12" s="45">
        <f t="shared" si="1"/>
        <v>1.7000000000000001E-3</v>
      </c>
      <c r="AU12" s="45">
        <f t="shared" si="2"/>
        <v>5.9999999999999995E-4</v>
      </c>
    </row>
    <row r="13" spans="1:49">
      <c r="B13" s="491" t="s">
        <v>25</v>
      </c>
      <c r="C13" s="491"/>
      <c r="D13" s="385">
        <v>908.12</v>
      </c>
      <c r="E13">
        <v>5.41</v>
      </c>
      <c r="F13">
        <v>0.34229999999999999</v>
      </c>
      <c r="G13">
        <v>0.69099999999999995</v>
      </c>
      <c r="I13">
        <v>0.52</v>
      </c>
      <c r="J13" s="145"/>
      <c r="K13" s="146"/>
      <c r="L13" s="145"/>
      <c r="M13" s="145"/>
      <c r="O13" s="45"/>
      <c r="P13" s="45"/>
      <c r="Q13" s="45"/>
      <c r="R13" s="45"/>
      <c r="S13" s="45"/>
      <c r="T13" s="45"/>
      <c r="U13" s="45"/>
      <c r="V13" s="45"/>
      <c r="W13" s="436"/>
      <c r="X13" s="439"/>
      <c r="Y13" s="439"/>
      <c r="Z13" s="438"/>
      <c r="AA13" s="46">
        <v>5.86</v>
      </c>
      <c r="AB13" s="46">
        <v>11.09</v>
      </c>
      <c r="AC13" s="46">
        <v>10.94</v>
      </c>
      <c r="AD13" s="45"/>
      <c r="AE13" s="46">
        <v>8.14</v>
      </c>
      <c r="AF13" s="46">
        <v>3.54</v>
      </c>
      <c r="AG13" s="71"/>
      <c r="AH13" s="72"/>
      <c r="AI13" s="45"/>
      <c r="AJ13" s="45"/>
      <c r="AK13" s="71"/>
      <c r="AL13" s="70"/>
      <c r="AM13" s="45"/>
      <c r="AN13" s="447">
        <v>5.7999999999999996E-3</v>
      </c>
      <c r="AO13" s="447">
        <v>5.7999999999999996E-3</v>
      </c>
      <c r="AP13" s="447">
        <v>5.7999999999999996E-3</v>
      </c>
      <c r="AQ13" s="447">
        <v>5.7999999999999996E-3</v>
      </c>
      <c r="AR13" s="45"/>
      <c r="AS13" s="45"/>
      <c r="AT13" s="45">
        <f t="shared" si="1"/>
        <v>1.7000000000000001E-3</v>
      </c>
      <c r="AU13" s="45">
        <f t="shared" si="2"/>
        <v>5.9999999999999995E-4</v>
      </c>
    </row>
    <row r="14" spans="1:49">
      <c r="B14" s="491" t="s">
        <v>26</v>
      </c>
      <c r="C14" s="491"/>
      <c r="D14" s="384">
        <f t="shared" ref="D14:I14" si="5">D12</f>
        <v>56.21</v>
      </c>
      <c r="E14" s="14">
        <f t="shared" si="5"/>
        <v>4.75</v>
      </c>
      <c r="F14" s="14">
        <f t="shared" si="5"/>
        <v>0.3528</v>
      </c>
      <c r="G14" s="14">
        <f t="shared" si="5"/>
        <v>0.69969999999999999</v>
      </c>
      <c r="H14" s="14">
        <f t="shared" si="5"/>
        <v>0</v>
      </c>
      <c r="I14" s="14">
        <f t="shared" si="5"/>
        <v>0.42130000000000001</v>
      </c>
      <c r="J14" s="145"/>
      <c r="K14" s="145"/>
      <c r="L14" s="145"/>
      <c r="M14" s="145"/>
      <c r="O14" s="108"/>
      <c r="P14" s="108"/>
      <c r="Q14" s="108"/>
      <c r="R14" s="108"/>
      <c r="S14" s="108"/>
      <c r="T14" s="108"/>
      <c r="U14" s="108"/>
      <c r="V14" s="108"/>
      <c r="W14" s="109"/>
      <c r="X14" s="196"/>
      <c r="Y14" s="196"/>
      <c r="Z14" s="110"/>
      <c r="AA14" s="111">
        <v>5.58</v>
      </c>
      <c r="AB14" s="111">
        <v>11.99</v>
      </c>
      <c r="AC14" s="111">
        <v>11.48</v>
      </c>
      <c r="AD14" s="108"/>
      <c r="AE14" s="111">
        <v>7.69</v>
      </c>
      <c r="AF14" s="111">
        <v>3.3</v>
      </c>
      <c r="AG14" s="109"/>
      <c r="AH14" s="196"/>
      <c r="AI14" s="108"/>
      <c r="AJ14" s="108"/>
      <c r="AK14" s="109"/>
      <c r="AL14" s="110"/>
      <c r="AM14" s="108"/>
      <c r="AN14" s="451">
        <v>5.7999999999999996E-3</v>
      </c>
      <c r="AO14" s="451">
        <v>5.7999999999999996E-3</v>
      </c>
      <c r="AP14" s="451">
        <v>5.7999999999999996E-3</v>
      </c>
      <c r="AQ14" s="451">
        <v>5.7999999999999996E-3</v>
      </c>
      <c r="AR14" s="108"/>
      <c r="AS14" s="108"/>
      <c r="AT14" s="45">
        <f t="shared" si="1"/>
        <v>1.7000000000000001E-3</v>
      </c>
      <c r="AU14" s="45">
        <f t="shared" si="2"/>
        <v>5.9999999999999995E-4</v>
      </c>
    </row>
    <row r="15" spans="1:49">
      <c r="B15" s="383" t="s">
        <v>221</v>
      </c>
      <c r="C15" s="383"/>
      <c r="D15" s="5">
        <v>84.92</v>
      </c>
      <c r="E15">
        <v>4.8600000000000003</v>
      </c>
      <c r="F15">
        <v>0.24979999999999999</v>
      </c>
      <c r="G15">
        <v>0.59909999999999997</v>
      </c>
      <c r="I15">
        <v>0.36649999999999999</v>
      </c>
      <c r="J15" s="145"/>
      <c r="K15" s="145"/>
      <c r="L15" s="145"/>
      <c r="M15" s="145"/>
      <c r="N15" s="45"/>
      <c r="O15" s="46">
        <v>16.18</v>
      </c>
      <c r="P15" s="46">
        <v>14.49</v>
      </c>
      <c r="Q15" s="45"/>
      <c r="R15" s="45"/>
      <c r="S15" s="46">
        <v>9.4600000000000009</v>
      </c>
      <c r="T15" s="46">
        <v>7.77</v>
      </c>
      <c r="U15" s="46"/>
      <c r="V15" s="45"/>
      <c r="W15" s="71">
        <v>200</v>
      </c>
      <c r="X15" s="72" t="s">
        <v>114</v>
      </c>
      <c r="Y15" s="72"/>
      <c r="Z15" s="70"/>
      <c r="AA15" s="46"/>
      <c r="AB15" s="46"/>
      <c r="AC15" s="46"/>
      <c r="AD15" s="45"/>
      <c r="AE15" s="46"/>
      <c r="AF15" s="46"/>
      <c r="AG15" s="71">
        <v>1.15E-2</v>
      </c>
      <c r="AH15" s="71">
        <v>1.15E-2</v>
      </c>
      <c r="AI15" s="71">
        <v>1.15E-2</v>
      </c>
      <c r="AJ15" s="71">
        <v>1.15E-2</v>
      </c>
      <c r="AK15" s="71" t="s">
        <v>114</v>
      </c>
      <c r="AL15" s="70"/>
      <c r="AM15" s="45"/>
      <c r="AN15" s="45"/>
      <c r="AO15" s="45"/>
      <c r="AP15" s="45"/>
      <c r="AQ15" s="45"/>
      <c r="AR15" s="45"/>
      <c r="AS15" s="45"/>
      <c r="AT15" s="45">
        <f t="shared" si="1"/>
        <v>1.7000000000000001E-3</v>
      </c>
      <c r="AU15" s="45">
        <f t="shared" si="2"/>
        <v>5.9999999999999995E-4</v>
      </c>
    </row>
    <row r="16" spans="1:49">
      <c r="B16" s="195" t="s">
        <v>220</v>
      </c>
      <c r="C16" s="195"/>
      <c r="D16" s="5">
        <v>416.46</v>
      </c>
      <c r="E16">
        <v>4.76</v>
      </c>
      <c r="F16">
        <v>0.29099999999999998</v>
      </c>
      <c r="G16">
        <v>0.63060000000000005</v>
      </c>
      <c r="I16">
        <v>0.42980000000000002</v>
      </c>
      <c r="J16" s="145"/>
      <c r="K16" s="145"/>
      <c r="L16" s="145"/>
      <c r="M16" s="145"/>
      <c r="N16" s="45"/>
      <c r="O16" s="45"/>
      <c r="P16" s="45"/>
      <c r="Q16" s="45"/>
      <c r="R16" s="45"/>
      <c r="S16" s="45"/>
      <c r="T16" s="45"/>
      <c r="U16" s="45"/>
      <c r="V16" s="45"/>
      <c r="W16" s="71"/>
      <c r="X16" s="72"/>
      <c r="Y16" s="72"/>
      <c r="Z16" s="70"/>
      <c r="AA16" s="46">
        <v>4.2699999999999996</v>
      </c>
      <c r="AB16" s="46">
        <v>8.31</v>
      </c>
      <c r="AC16" s="46">
        <v>9.1300000000000008</v>
      </c>
      <c r="AD16" s="45"/>
      <c r="AE16" s="46">
        <v>4.3499999999999996</v>
      </c>
      <c r="AF16" s="46">
        <v>7.05</v>
      </c>
      <c r="AG16" s="71"/>
      <c r="AH16" s="72"/>
      <c r="AI16" s="45"/>
      <c r="AJ16" s="45"/>
      <c r="AK16" s="71"/>
      <c r="AL16" s="70"/>
      <c r="AM16" s="45"/>
      <c r="AN16" s="447">
        <v>5.7999999999999996E-3</v>
      </c>
      <c r="AO16" s="447">
        <v>5.7999999999999996E-3</v>
      </c>
      <c r="AP16" s="447">
        <v>5.7999999999999996E-3</v>
      </c>
      <c r="AQ16" s="447">
        <v>5.7999999999999996E-3</v>
      </c>
      <c r="AR16" s="45"/>
      <c r="AS16" s="45"/>
      <c r="AT16" s="45">
        <f t="shared" si="1"/>
        <v>1.7000000000000001E-3</v>
      </c>
      <c r="AU16" s="45">
        <f t="shared" si="2"/>
        <v>5.9999999999999995E-4</v>
      </c>
    </row>
    <row r="17" spans="1:49">
      <c r="B17" s="195" t="s">
        <v>219</v>
      </c>
      <c r="C17" s="195"/>
      <c r="D17" s="14">
        <f t="shared" ref="D17:I17" si="6">D15</f>
        <v>84.92</v>
      </c>
      <c r="E17" s="14">
        <f t="shared" si="6"/>
        <v>4.8600000000000003</v>
      </c>
      <c r="F17" s="14">
        <f t="shared" si="6"/>
        <v>0.24979999999999999</v>
      </c>
      <c r="G17" s="14">
        <f t="shared" si="6"/>
        <v>0.59909999999999997</v>
      </c>
      <c r="H17" s="14">
        <f t="shared" si="6"/>
        <v>0</v>
      </c>
      <c r="I17" s="14">
        <f t="shared" si="6"/>
        <v>0.36649999999999999</v>
      </c>
      <c r="J17" s="145"/>
      <c r="K17" s="145"/>
      <c r="L17" s="145"/>
      <c r="M17" s="145"/>
      <c r="O17" s="108"/>
      <c r="P17" s="108"/>
      <c r="Q17" s="108"/>
      <c r="R17" s="108"/>
      <c r="S17" s="108"/>
      <c r="T17" s="108"/>
      <c r="U17" s="108"/>
      <c r="V17" s="108"/>
      <c r="W17" s="109"/>
      <c r="X17" s="196"/>
      <c r="Y17" s="196"/>
      <c r="Z17" s="110"/>
      <c r="AA17" s="111">
        <v>3.55</v>
      </c>
      <c r="AB17" s="111">
        <v>8.65</v>
      </c>
      <c r="AC17" s="111">
        <v>8.9</v>
      </c>
      <c r="AD17" s="108"/>
      <c r="AE17" s="111">
        <v>3.72</v>
      </c>
      <c r="AF17" s="111">
        <v>6.73</v>
      </c>
      <c r="AG17" s="109"/>
      <c r="AH17" s="196"/>
      <c r="AI17" s="108"/>
      <c r="AJ17" s="108"/>
      <c r="AK17" s="109"/>
      <c r="AL17" s="110"/>
      <c r="AM17" s="108"/>
      <c r="AN17" s="451">
        <v>5.7999999999999996E-3</v>
      </c>
      <c r="AO17" s="451">
        <v>5.7999999999999996E-3</v>
      </c>
      <c r="AP17" s="451">
        <v>5.7999999999999996E-3</v>
      </c>
      <c r="AQ17" s="451">
        <v>5.7999999999999996E-3</v>
      </c>
      <c r="AR17" s="108"/>
      <c r="AS17" s="108"/>
      <c r="AT17" s="45">
        <f t="shared" si="1"/>
        <v>1.7000000000000001E-3</v>
      </c>
      <c r="AU17" s="45">
        <f t="shared" si="2"/>
        <v>5.9999999999999995E-4</v>
      </c>
    </row>
    <row r="18" spans="1:49">
      <c r="W18" s="132"/>
      <c r="X18" s="5"/>
      <c r="Y18" s="5"/>
      <c r="Z18" s="133"/>
      <c r="AG18" s="132"/>
      <c r="AH18" s="5"/>
      <c r="AK18" s="132"/>
      <c r="AL18" s="133"/>
      <c r="AT18" s="45"/>
    </row>
    <row r="19" spans="1:49">
      <c r="A19" s="98"/>
      <c r="B19" s="98"/>
      <c r="C19" s="98"/>
      <c r="D19" s="98"/>
      <c r="E19" s="98"/>
      <c r="F19" s="98"/>
      <c r="G19" s="98"/>
      <c r="H19" s="98"/>
      <c r="I19" s="98"/>
      <c r="J19" s="98"/>
      <c r="K19" s="98"/>
      <c r="L19" s="98"/>
      <c r="M19" s="98"/>
      <c r="N19" s="98"/>
      <c r="O19" s="98"/>
      <c r="P19" s="98"/>
      <c r="Q19" s="98"/>
      <c r="R19" s="98"/>
      <c r="S19" s="98"/>
      <c r="T19" s="98"/>
      <c r="U19" s="98"/>
      <c r="V19" s="98"/>
      <c r="W19" s="90"/>
      <c r="X19" s="98"/>
      <c r="Y19" s="98"/>
      <c r="Z19" s="91"/>
      <c r="AA19" s="98"/>
      <c r="AB19" s="98"/>
      <c r="AC19" s="98"/>
      <c r="AD19" s="98"/>
      <c r="AE19" s="98"/>
      <c r="AF19" s="98"/>
      <c r="AG19" s="90"/>
      <c r="AH19" s="98"/>
      <c r="AI19" s="98"/>
      <c r="AJ19" s="98"/>
      <c r="AK19" s="90"/>
      <c r="AL19" s="91"/>
      <c r="AM19" s="98"/>
      <c r="AN19" s="98"/>
      <c r="AO19" s="98"/>
      <c r="AP19" s="98"/>
      <c r="AQ19" s="98"/>
      <c r="AR19" s="98"/>
      <c r="AS19" s="98"/>
      <c r="AT19" s="98"/>
      <c r="AU19" s="98"/>
      <c r="AV19" s="98"/>
      <c r="AW19" s="98"/>
    </row>
    <row r="21" spans="1:49" ht="13" thickBot="1">
      <c r="D21" s="8" t="s">
        <v>164</v>
      </c>
      <c r="L21" s="8" t="s">
        <v>166</v>
      </c>
    </row>
    <row r="22" spans="1:49">
      <c r="A22" s="8" t="s">
        <v>163</v>
      </c>
      <c r="D22" s="51" t="s">
        <v>147</v>
      </c>
      <c r="E22" s="51"/>
      <c r="F22" s="51"/>
      <c r="G22" s="51"/>
      <c r="H22" s="51" t="s">
        <v>165</v>
      </c>
      <c r="I22" s="51"/>
      <c r="J22" s="51"/>
      <c r="K22" s="51"/>
      <c r="L22" s="136" t="s">
        <v>145</v>
      </c>
      <c r="M22" s="137"/>
      <c r="N22" s="137"/>
      <c r="O22" s="137"/>
      <c r="P22" s="137"/>
      <c r="Q22" s="137"/>
      <c r="R22" s="136" t="s">
        <v>146</v>
      </c>
      <c r="S22" s="137"/>
      <c r="T22" s="137"/>
      <c r="U22" s="137"/>
      <c r="V22" s="137"/>
      <c r="W22" s="137"/>
      <c r="AA22" s="457" t="s">
        <v>2</v>
      </c>
      <c r="AB22" s="458" t="s">
        <v>206</v>
      </c>
      <c r="AG22" t="s">
        <v>108</v>
      </c>
    </row>
    <row r="23" spans="1:49" ht="13" thickBot="1">
      <c r="D23" s="140">
        <v>1</v>
      </c>
      <c r="E23" s="140">
        <v>2</v>
      </c>
      <c r="F23" s="140">
        <v>3</v>
      </c>
      <c r="G23" s="140">
        <v>4</v>
      </c>
      <c r="H23" s="140">
        <v>5</v>
      </c>
      <c r="I23" s="140">
        <v>6</v>
      </c>
      <c r="J23" s="140">
        <v>7</v>
      </c>
      <c r="K23" s="140">
        <v>8</v>
      </c>
      <c r="L23" s="140">
        <v>9</v>
      </c>
      <c r="M23" s="140">
        <v>10</v>
      </c>
      <c r="N23" s="140">
        <v>11</v>
      </c>
      <c r="O23" s="140">
        <v>12</v>
      </c>
      <c r="P23" s="140">
        <v>13</v>
      </c>
      <c r="Q23" s="140">
        <v>14</v>
      </c>
      <c r="R23" s="140">
        <v>15</v>
      </c>
      <c r="S23" s="140">
        <v>16</v>
      </c>
      <c r="T23" s="140">
        <v>17</v>
      </c>
      <c r="U23" s="140">
        <v>18</v>
      </c>
      <c r="V23" s="140">
        <v>19</v>
      </c>
      <c r="W23" s="140">
        <v>20</v>
      </c>
      <c r="AA23" s="459">
        <v>0.17</v>
      </c>
      <c r="AB23" s="460">
        <v>0.06</v>
      </c>
    </row>
    <row r="24" spans="1:49">
      <c r="B24" s="20">
        <f>B5</f>
        <v>8</v>
      </c>
      <c r="D24" s="21" t="s">
        <v>71</v>
      </c>
      <c r="E24" s="21" t="s">
        <v>72</v>
      </c>
      <c r="F24" s="21" t="s">
        <v>73</v>
      </c>
      <c r="G24" s="21" t="s">
        <v>74</v>
      </c>
      <c r="H24" s="21" t="s">
        <v>71</v>
      </c>
      <c r="I24" s="21" t="s">
        <v>72</v>
      </c>
      <c r="J24" s="21" t="s">
        <v>73</v>
      </c>
      <c r="K24" s="21" t="s">
        <v>74</v>
      </c>
      <c r="L24" s="144" t="s">
        <v>171</v>
      </c>
      <c r="M24" s="144" t="s">
        <v>172</v>
      </c>
      <c r="N24" s="144" t="s">
        <v>174</v>
      </c>
      <c r="O24" s="144" t="s">
        <v>270</v>
      </c>
      <c r="P24" s="144" t="s">
        <v>267</v>
      </c>
      <c r="Q24" s="144" t="s">
        <v>268</v>
      </c>
      <c r="R24" s="144" t="s">
        <v>171</v>
      </c>
      <c r="S24" s="144" t="s">
        <v>172</v>
      </c>
      <c r="T24" s="144" t="s">
        <v>270</v>
      </c>
      <c r="U24" s="144" t="s">
        <v>174</v>
      </c>
      <c r="V24" s="144" t="s">
        <v>267</v>
      </c>
      <c r="W24" s="144" t="s">
        <v>268</v>
      </c>
      <c r="Y24" s="128"/>
      <c r="Z24" s="128"/>
      <c r="AA24" t="s">
        <v>269</v>
      </c>
    </row>
    <row r="25" spans="1:49">
      <c r="B25" s="489" t="s">
        <v>18</v>
      </c>
      <c r="C25" s="489"/>
      <c r="D25" s="362">
        <v>85.239166666666662</v>
      </c>
      <c r="E25" s="361">
        <v>2.0225</v>
      </c>
      <c r="F25" s="360">
        <v>2.3249999999999996E-2</v>
      </c>
      <c r="G25" s="360">
        <v>0.20840833333333331</v>
      </c>
      <c r="H25" s="452">
        <v>85.239166666666662</v>
      </c>
      <c r="I25" s="453">
        <v>2.0225</v>
      </c>
      <c r="J25" s="454">
        <v>2.3249999999999996E-2</v>
      </c>
      <c r="K25" s="454">
        <v>0.20840833333333331</v>
      </c>
      <c r="L25" s="141"/>
      <c r="M25" s="141"/>
      <c r="N25" s="141">
        <v>3.69</v>
      </c>
      <c r="O25" s="141"/>
      <c r="P25" s="141"/>
      <c r="Q25" s="141">
        <v>1.2E-2</v>
      </c>
      <c r="R25" s="147"/>
      <c r="S25" s="148"/>
      <c r="T25" s="148">
        <v>3.69</v>
      </c>
      <c r="U25" s="148"/>
      <c r="V25" s="148"/>
      <c r="W25" s="148">
        <v>1.2E-2</v>
      </c>
      <c r="Y25" s="128"/>
      <c r="Z25" s="128"/>
    </row>
    <row r="26" spans="1:49">
      <c r="B26" s="489" t="s">
        <v>19</v>
      </c>
      <c r="C26" s="489"/>
      <c r="D26" s="362">
        <v>301.00583333333333</v>
      </c>
      <c r="E26" s="361">
        <v>1.7116666666666667</v>
      </c>
      <c r="F26" s="360">
        <v>1.4066666666666667E-2</v>
      </c>
      <c r="G26" s="360">
        <v>0.15533333333333332</v>
      </c>
      <c r="H26" s="452">
        <v>301.00583333333333</v>
      </c>
      <c r="I26" s="453">
        <v>1.7116666666666667</v>
      </c>
      <c r="J26" s="454">
        <v>1.4066666666666667E-2</v>
      </c>
      <c r="K26" s="454">
        <v>0.15533333333333332</v>
      </c>
      <c r="L26" s="141">
        <v>1.39</v>
      </c>
      <c r="M26" s="141">
        <v>1.6</v>
      </c>
      <c r="N26" s="141"/>
      <c r="O26" s="141">
        <v>8.0000000000000002E-3</v>
      </c>
      <c r="P26" s="141">
        <v>5.0000000000000001E-3</v>
      </c>
      <c r="Q26" s="141"/>
      <c r="R26" s="147">
        <v>1.39</v>
      </c>
      <c r="S26" s="148">
        <v>1.6</v>
      </c>
      <c r="T26" s="148"/>
      <c r="U26" s="148">
        <v>8.0000000000000002E-3</v>
      </c>
      <c r="V26" s="148">
        <v>5.0000000000000001E-3</v>
      </c>
      <c r="W26" s="148"/>
      <c r="Y26" s="128"/>
      <c r="Z26" s="128"/>
    </row>
    <row r="27" spans="1:49">
      <c r="B27" s="489" t="s">
        <v>20</v>
      </c>
      <c r="C27" s="489"/>
      <c r="D27" s="362">
        <f>D25</f>
        <v>85.239166666666662</v>
      </c>
      <c r="E27" s="361">
        <f>E25</f>
        <v>2.0225</v>
      </c>
      <c r="F27" s="360">
        <f>F25</f>
        <v>2.3249999999999996E-2</v>
      </c>
      <c r="G27" s="360">
        <f>G25</f>
        <v>0.20840833333333331</v>
      </c>
      <c r="H27" s="382">
        <v>85.239166666666662</v>
      </c>
      <c r="I27" s="380">
        <v>2.0225</v>
      </c>
      <c r="J27" s="378">
        <v>2.3249999999999996E-2</v>
      </c>
      <c r="K27" s="378">
        <v>0.20840833333333331</v>
      </c>
      <c r="L27" s="141">
        <v>3.13</v>
      </c>
      <c r="M27" s="141">
        <v>4.5</v>
      </c>
      <c r="N27" s="141"/>
      <c r="O27" s="141">
        <v>8.0000000000000002E-3</v>
      </c>
      <c r="P27" s="141">
        <v>5.0000000000000001E-3</v>
      </c>
      <c r="Q27" s="141"/>
      <c r="R27" s="147">
        <v>3.13</v>
      </c>
      <c r="S27" s="148">
        <v>4.5</v>
      </c>
      <c r="T27" s="148"/>
      <c r="U27" s="148">
        <v>8.0000000000000002E-3</v>
      </c>
      <c r="V27" s="148">
        <v>5.0000000000000001E-3</v>
      </c>
      <c r="W27" s="148"/>
      <c r="Y27" s="128"/>
      <c r="Z27" s="128"/>
    </row>
    <row r="28" spans="1:49">
      <c r="B28" s="489" t="s">
        <v>21</v>
      </c>
      <c r="C28" s="489"/>
      <c r="D28" s="362">
        <v>67.586666666666687</v>
      </c>
      <c r="E28" s="361">
        <v>1.5433333333333332</v>
      </c>
      <c r="F28" s="360">
        <v>2.3808333333333331E-2</v>
      </c>
      <c r="G28" s="360">
        <v>0.17898333333333336</v>
      </c>
      <c r="H28" s="452">
        <v>67.586666666666687</v>
      </c>
      <c r="I28" s="455">
        <v>1.5433333333333332</v>
      </c>
      <c r="J28" s="456">
        <v>2.3808333333333331E-2</v>
      </c>
      <c r="K28" s="456">
        <v>0.17898333333333336</v>
      </c>
      <c r="L28" s="141"/>
      <c r="M28" s="141"/>
      <c r="N28" s="141">
        <v>2.5499999999999998</v>
      </c>
      <c r="O28" s="141"/>
      <c r="P28" s="141"/>
      <c r="Q28" s="141">
        <v>8.9999999999999993E-3</v>
      </c>
      <c r="R28" s="147"/>
      <c r="S28" s="148"/>
      <c r="T28" s="148">
        <v>2.5499999999999998</v>
      </c>
      <c r="U28" s="148"/>
      <c r="V28" s="148"/>
      <c r="W28" s="148">
        <v>8.9999999999999993E-3</v>
      </c>
      <c r="Y28" s="128"/>
      <c r="Z28" s="128"/>
    </row>
    <row r="29" spans="1:49">
      <c r="B29" s="489" t="s">
        <v>22</v>
      </c>
      <c r="C29" s="489"/>
      <c r="D29" s="362">
        <v>168</v>
      </c>
      <c r="E29" s="361">
        <v>1.0815833333333336</v>
      </c>
      <c r="F29" s="360">
        <v>9.9666666666666671E-3</v>
      </c>
      <c r="G29" s="360">
        <v>0.13296666666666665</v>
      </c>
      <c r="H29" s="452">
        <v>168</v>
      </c>
      <c r="I29" s="453">
        <v>1.0815833333333336</v>
      </c>
      <c r="J29" s="454">
        <v>9.9666666666666671E-3</v>
      </c>
      <c r="K29" s="454">
        <v>0.13296666666666665</v>
      </c>
      <c r="L29" s="141">
        <v>0.23300000000000001</v>
      </c>
      <c r="M29" s="141">
        <v>0.9</v>
      </c>
      <c r="N29" s="141"/>
      <c r="O29" s="141">
        <v>8.9999999999999993E-3</v>
      </c>
      <c r="P29" s="141">
        <v>5.0000000000000001E-3</v>
      </c>
      <c r="Q29" s="141"/>
      <c r="R29" s="147">
        <v>0.23300000000000001</v>
      </c>
      <c r="S29" s="148">
        <v>0.9</v>
      </c>
      <c r="T29" s="148"/>
      <c r="U29" s="148">
        <v>8.9999999999999993E-3</v>
      </c>
      <c r="V29" s="148">
        <v>5.0000000000000001E-3</v>
      </c>
      <c r="W29" s="148"/>
      <c r="Y29" s="128"/>
      <c r="Z29" s="128"/>
    </row>
    <row r="30" spans="1:49">
      <c r="B30" s="489" t="s">
        <v>23</v>
      </c>
      <c r="C30" s="489"/>
      <c r="D30" s="362">
        <f>D28</f>
        <v>67.586666666666687</v>
      </c>
      <c r="E30" s="361">
        <f>E28</f>
        <v>1.5433333333333332</v>
      </c>
      <c r="F30" s="360">
        <f>F28</f>
        <v>2.3808333333333331E-2</v>
      </c>
      <c r="G30" s="360">
        <f>G28</f>
        <v>0.17898333333333336</v>
      </c>
      <c r="H30" s="382">
        <v>67.586666666666687</v>
      </c>
      <c r="I30" s="381">
        <v>1.5433333333333332</v>
      </c>
      <c r="J30" s="379">
        <v>2.3808333333333331E-2</v>
      </c>
      <c r="K30" s="379">
        <v>0.17898333333333336</v>
      </c>
      <c r="L30" s="141">
        <v>0.80300000000000005</v>
      </c>
      <c r="M30" s="141">
        <v>3.2</v>
      </c>
      <c r="N30" s="141"/>
      <c r="O30" s="141">
        <v>8.9999999999999993E-3</v>
      </c>
      <c r="P30" s="141">
        <v>5.0000000000000001E-3</v>
      </c>
      <c r="Q30" s="141"/>
      <c r="R30" s="147">
        <v>0.80300000000000005</v>
      </c>
      <c r="S30" s="148">
        <v>3.2</v>
      </c>
      <c r="T30" s="148"/>
      <c r="U30" s="148">
        <v>8.9999999999999993E-3</v>
      </c>
      <c r="V30" s="148">
        <v>5.0000000000000001E-3</v>
      </c>
      <c r="W30" s="148"/>
      <c r="Y30" s="128"/>
      <c r="Z30" s="128"/>
    </row>
    <row r="31" spans="1:49">
      <c r="B31" s="489" t="s">
        <v>24</v>
      </c>
      <c r="C31" s="489"/>
      <c r="D31" s="362">
        <v>19.85916666666667</v>
      </c>
      <c r="E31" s="361">
        <v>1.2283333333333335</v>
      </c>
      <c r="F31" s="360">
        <v>1.8016666666666667E-2</v>
      </c>
      <c r="G31" s="360">
        <v>0.12329166666666667</v>
      </c>
      <c r="H31" s="452">
        <v>19.85916666666667</v>
      </c>
      <c r="I31" s="453">
        <v>1.2283333333333335</v>
      </c>
      <c r="J31" s="454">
        <v>1.8016666666666667E-2</v>
      </c>
      <c r="K31" s="454">
        <v>0.12329166666666667</v>
      </c>
      <c r="L31" s="141"/>
      <c r="M31" s="141"/>
      <c r="N31" s="141">
        <v>1.9</v>
      </c>
      <c r="O31" s="141"/>
      <c r="P31" s="141"/>
      <c r="Q31" s="141">
        <v>8.9999999999999993E-3</v>
      </c>
      <c r="R31" s="147"/>
      <c r="S31" s="148"/>
      <c r="T31" s="148">
        <v>1.9</v>
      </c>
      <c r="U31" s="148"/>
      <c r="V31" s="148"/>
      <c r="W31" s="148">
        <v>8.9999999999999993E-3</v>
      </c>
      <c r="Y31" s="128"/>
      <c r="Z31" s="128"/>
    </row>
    <row r="32" spans="1:49">
      <c r="B32" s="489" t="s">
        <v>25</v>
      </c>
      <c r="C32" s="489"/>
      <c r="D32" s="362">
        <v>377.13833333333338</v>
      </c>
      <c r="E32" s="361">
        <v>1.7866666666666668</v>
      </c>
      <c r="F32" s="360">
        <v>1.5783333333333333E-2</v>
      </c>
      <c r="G32" s="360">
        <v>0.17942500000000003</v>
      </c>
      <c r="H32" s="452">
        <v>377.13833333333338</v>
      </c>
      <c r="I32" s="453">
        <v>1.7866666666666668</v>
      </c>
      <c r="J32" s="454">
        <v>1.5783333333333333E-2</v>
      </c>
      <c r="K32" s="454">
        <v>0.17942500000000003</v>
      </c>
      <c r="L32" s="141">
        <v>1.23</v>
      </c>
      <c r="M32" s="141">
        <v>1.5</v>
      </c>
      <c r="N32" s="141"/>
      <c r="O32" s="141">
        <v>8.0000000000000002E-3</v>
      </c>
      <c r="P32" s="141">
        <v>5.0000000000000001E-3</v>
      </c>
      <c r="Q32" s="141"/>
      <c r="R32" s="147">
        <v>1.23</v>
      </c>
      <c r="S32" s="148">
        <v>1.5</v>
      </c>
      <c r="T32" s="148"/>
      <c r="U32" s="148">
        <v>8.0000000000000002E-3</v>
      </c>
      <c r="V32" s="148">
        <v>5.0000000000000001E-3</v>
      </c>
      <c r="W32" s="148"/>
      <c r="Y32" s="128"/>
      <c r="Z32" s="128"/>
    </row>
    <row r="33" spans="1:49">
      <c r="B33" s="489" t="s">
        <v>26</v>
      </c>
      <c r="C33" s="489"/>
      <c r="D33" s="362">
        <f>D31</f>
        <v>19.85916666666667</v>
      </c>
      <c r="E33" s="361">
        <f>E31</f>
        <v>1.2283333333333335</v>
      </c>
      <c r="F33" s="360">
        <f>F31</f>
        <v>1.8016666666666667E-2</v>
      </c>
      <c r="G33" s="360">
        <f>G31</f>
        <v>0.12329166666666667</v>
      </c>
      <c r="H33" s="382">
        <v>19.85916666666667</v>
      </c>
      <c r="I33" s="381">
        <v>1.2283333333333335</v>
      </c>
      <c r="J33" s="379">
        <v>1.8016666666666667E-2</v>
      </c>
      <c r="K33" s="379">
        <v>0.12329166666666667</v>
      </c>
      <c r="L33" s="141">
        <v>1.74</v>
      </c>
      <c r="M33" s="141">
        <v>2.2000000000000002</v>
      </c>
      <c r="N33" s="141"/>
      <c r="O33" s="141">
        <v>8.0000000000000002E-3</v>
      </c>
      <c r="P33" s="141">
        <v>5.0000000000000001E-3</v>
      </c>
      <c r="Q33" s="141"/>
      <c r="R33" s="147">
        <v>1.74</v>
      </c>
      <c r="S33" s="148">
        <v>2.2000000000000002</v>
      </c>
      <c r="T33" s="148"/>
      <c r="U33" s="148">
        <v>8.0000000000000002E-3</v>
      </c>
      <c r="V33" s="148">
        <v>5.0000000000000001E-3</v>
      </c>
      <c r="W33" s="148"/>
      <c r="Y33" s="128"/>
      <c r="Z33" s="128"/>
    </row>
    <row r="34" spans="1:49">
      <c r="B34" s="195" t="s">
        <v>221</v>
      </c>
      <c r="C34" s="195"/>
      <c r="D34" s="362">
        <v>65</v>
      </c>
      <c r="E34" s="361">
        <v>1.38</v>
      </c>
      <c r="F34" s="360">
        <v>1.8924999999999997E-2</v>
      </c>
      <c r="G34" s="360">
        <v>0.12119166666666666</v>
      </c>
      <c r="H34" s="382">
        <v>65</v>
      </c>
      <c r="I34" s="381">
        <v>1.38</v>
      </c>
      <c r="J34" s="379">
        <v>1.8924999999999997E-2</v>
      </c>
      <c r="K34" s="379">
        <v>0.12119166666666666</v>
      </c>
      <c r="L34" s="141"/>
      <c r="M34" s="141"/>
      <c r="N34" s="141">
        <v>0.86</v>
      </c>
      <c r="O34" s="141"/>
      <c r="P34" s="141"/>
      <c r="Q34" s="141">
        <v>8.9999999999999993E-3</v>
      </c>
      <c r="R34" s="147"/>
      <c r="S34" s="148"/>
      <c r="T34" s="148">
        <v>0.86</v>
      </c>
      <c r="U34" s="148"/>
      <c r="V34" s="148"/>
      <c r="W34" s="148">
        <v>8.9999999999999993E-3</v>
      </c>
      <c r="Y34" s="128"/>
      <c r="Z34" s="128"/>
    </row>
    <row r="35" spans="1:49">
      <c r="B35" s="195" t="s">
        <v>220</v>
      </c>
      <c r="C35" s="195"/>
      <c r="D35" s="362">
        <v>112</v>
      </c>
      <c r="E35" s="361">
        <v>0.8</v>
      </c>
      <c r="F35" s="360">
        <v>1.2999999999999999E-2</v>
      </c>
      <c r="G35" s="360">
        <v>8.1000000000000003E-2</v>
      </c>
      <c r="H35" s="382">
        <v>112</v>
      </c>
      <c r="I35" s="381">
        <v>0.8</v>
      </c>
      <c r="J35" s="379">
        <v>1.2999999999999999E-2</v>
      </c>
      <c r="K35" s="379">
        <v>8.1000000000000003E-2</v>
      </c>
      <c r="L35" s="141">
        <v>0.90500000000000003</v>
      </c>
      <c r="M35" s="141">
        <v>0</v>
      </c>
      <c r="N35" s="141"/>
      <c r="O35" s="141">
        <v>8.0000000000000002E-3</v>
      </c>
      <c r="P35" s="141">
        <v>5.0000000000000001E-3</v>
      </c>
      <c r="Q35" s="141"/>
      <c r="R35" s="147">
        <v>0.90500000000000003</v>
      </c>
      <c r="S35" s="148">
        <v>0</v>
      </c>
      <c r="T35" s="148"/>
      <c r="U35" s="148">
        <v>8.0000000000000002E-3</v>
      </c>
      <c r="V35" s="148">
        <v>5.0000000000000001E-3</v>
      </c>
      <c r="W35" s="148"/>
      <c r="Y35" s="128"/>
      <c r="Z35" s="128"/>
    </row>
    <row r="36" spans="1:49">
      <c r="B36" s="195" t="s">
        <v>219</v>
      </c>
      <c r="C36" s="195"/>
      <c r="D36" s="362">
        <v>65</v>
      </c>
      <c r="E36" s="361">
        <v>1.38</v>
      </c>
      <c r="F36" s="360">
        <v>1.6248387096774196E-2</v>
      </c>
      <c r="G36" s="360">
        <v>0.12119166666666666</v>
      </c>
      <c r="H36" s="382">
        <v>65</v>
      </c>
      <c r="I36" s="381">
        <v>1.38</v>
      </c>
      <c r="J36" s="379">
        <v>1.6248387096774196E-2</v>
      </c>
      <c r="K36" s="379">
        <v>0.12119166666666666</v>
      </c>
      <c r="L36" s="141">
        <v>3.13</v>
      </c>
      <c r="M36" s="141">
        <v>1.1000000000000001</v>
      </c>
      <c r="N36" s="141"/>
      <c r="O36" s="141">
        <v>8.0000000000000002E-3</v>
      </c>
      <c r="P36" s="141">
        <v>5.0000000000000001E-3</v>
      </c>
      <c r="Q36" s="141"/>
      <c r="R36" s="147">
        <v>3.13</v>
      </c>
      <c r="S36" s="148">
        <v>1.1000000000000001</v>
      </c>
      <c r="T36" s="148"/>
      <c r="U36" s="148">
        <v>8.0000000000000002E-3</v>
      </c>
      <c r="V36" s="148">
        <v>5.0000000000000001E-3</v>
      </c>
      <c r="W36" s="148"/>
      <c r="Y36" s="128"/>
      <c r="Z36" s="128"/>
    </row>
    <row r="37" spans="1:49" ht="13" thickBot="1">
      <c r="A37" s="79"/>
      <c r="B37" s="79"/>
      <c r="C37" s="79"/>
      <c r="D37" s="79"/>
      <c r="E37" s="79"/>
      <c r="F37" s="79"/>
      <c r="G37" s="79"/>
      <c r="H37" s="79"/>
      <c r="I37" s="79"/>
      <c r="J37" s="79"/>
      <c r="K37" s="79"/>
      <c r="L37" s="79"/>
      <c r="M37" s="79"/>
      <c r="N37" s="79"/>
      <c r="O37" s="79"/>
      <c r="P37" s="79"/>
      <c r="Q37" s="79"/>
      <c r="R37" s="79"/>
      <c r="S37" s="79"/>
      <c r="T37" s="79"/>
      <c r="U37" s="79"/>
      <c r="V37" s="79"/>
      <c r="W37" s="79"/>
      <c r="X37" s="79"/>
      <c r="Y37" s="158"/>
      <c r="Z37" s="158"/>
      <c r="AA37" s="79"/>
      <c r="AB37" s="79"/>
      <c r="AC37" s="79"/>
      <c r="AD37" s="79"/>
      <c r="AE37" s="79"/>
      <c r="AF37" s="79"/>
      <c r="AG37" s="79"/>
      <c r="AH37" s="79"/>
      <c r="AI37" s="79"/>
      <c r="AJ37" s="79"/>
      <c r="AK37" s="79"/>
      <c r="AL37" s="79"/>
      <c r="AM37" s="79"/>
      <c r="AN37" s="79"/>
      <c r="AO37" s="79"/>
      <c r="AP37" s="79"/>
      <c r="AQ37" s="79"/>
      <c r="AR37" s="79"/>
      <c r="AS37" s="79"/>
      <c r="AT37" s="79"/>
      <c r="AU37" s="79"/>
      <c r="AV37" s="79"/>
      <c r="AW37" s="79"/>
    </row>
    <row r="38" spans="1:49">
      <c r="Y38" s="128"/>
      <c r="Z38" s="128"/>
    </row>
    <row r="39" spans="1:49" s="45" customFormat="1">
      <c r="A39" s="8" t="s">
        <v>57</v>
      </c>
      <c r="B39"/>
      <c r="C39"/>
      <c r="D39"/>
      <c r="E39"/>
      <c r="F39" s="8" t="s">
        <v>58</v>
      </c>
      <c r="G39"/>
      <c r="H39"/>
      <c r="I39"/>
      <c r="J39"/>
      <c r="M39" s="8" t="s">
        <v>277</v>
      </c>
      <c r="N39"/>
      <c r="O39" s="19"/>
      <c r="P39" s="19"/>
      <c r="Q39" s="19"/>
      <c r="R39"/>
      <c r="S39" s="34"/>
      <c r="T39" s="34"/>
      <c r="U39" s="34"/>
      <c r="V39" s="34"/>
      <c r="W39" s="34"/>
      <c r="X39" s="159"/>
      <c r="Y39" s="159"/>
      <c r="Z39" s="34"/>
    </row>
    <row r="40" spans="1:49">
      <c r="A40" s="8"/>
      <c r="G40" s="14" t="s">
        <v>59</v>
      </c>
      <c r="J40" s="29"/>
      <c r="K40" t="s">
        <v>112</v>
      </c>
      <c r="M40" s="203" t="s">
        <v>291</v>
      </c>
      <c r="N40" s="207">
        <v>0</v>
      </c>
      <c r="O40" s="204">
        <v>1</v>
      </c>
      <c r="P40" s="389">
        <f>INDEX(Tables!N40:N45,Tables!O40,1)</f>
        <v>0</v>
      </c>
      <c r="Q40" s="413" t="s">
        <v>310</v>
      </c>
      <c r="W40" s="128"/>
      <c r="X40" s="128"/>
    </row>
    <row r="41" spans="1:49" ht="13" thickBot="1">
      <c r="A41" s="8"/>
      <c r="B41" s="14" t="s">
        <v>16</v>
      </c>
      <c r="G41" s="20">
        <v>1</v>
      </c>
      <c r="I41" t="s">
        <v>78</v>
      </c>
      <c r="K41" s="357">
        <v>0.05</v>
      </c>
      <c r="M41" s="423" t="s">
        <v>351</v>
      </c>
      <c r="N41" s="208">
        <v>0.72</v>
      </c>
      <c r="O41" s="92"/>
      <c r="P41" s="133"/>
    </row>
    <row r="42" spans="1:49" ht="13" thickBot="1">
      <c r="B42" s="7" t="b">
        <v>1</v>
      </c>
      <c r="G42" s="490" t="s">
        <v>60</v>
      </c>
      <c r="H42" s="490"/>
      <c r="I42">
        <v>11</v>
      </c>
      <c r="M42" s="423" t="s">
        <v>224</v>
      </c>
      <c r="N42" s="208">
        <v>0.74</v>
      </c>
      <c r="O42" s="92"/>
      <c r="P42" s="374">
        <f>'Inputs &amp; Outputs'!C21</f>
        <v>0</v>
      </c>
      <c r="Q42" s="412" t="s">
        <v>309</v>
      </c>
    </row>
    <row r="43" spans="1:49">
      <c r="G43" s="490" t="s">
        <v>61</v>
      </c>
      <c r="H43" s="490"/>
      <c r="I43">
        <v>13</v>
      </c>
      <c r="M43" s="423" t="s">
        <v>352</v>
      </c>
      <c r="N43" s="208">
        <v>0.65</v>
      </c>
      <c r="O43" s="92"/>
      <c r="P43" s="93"/>
    </row>
    <row r="44" spans="1:49">
      <c r="B44" s="14" t="s">
        <v>118</v>
      </c>
      <c r="M44" s="423" t="s">
        <v>353</v>
      </c>
      <c r="N44" s="208">
        <v>0.95</v>
      </c>
      <c r="O44" s="92"/>
      <c r="P44" s="93"/>
      <c r="Q44" s="128"/>
    </row>
    <row r="45" spans="1:49">
      <c r="B45" s="358">
        <v>39964</v>
      </c>
      <c r="M45" s="423" t="s">
        <v>225</v>
      </c>
      <c r="N45" s="208">
        <v>0.8</v>
      </c>
      <c r="O45" s="92"/>
      <c r="P45" s="93"/>
      <c r="R45" s="128"/>
    </row>
    <row r="46" spans="1:49">
      <c r="G46" s="14" t="s">
        <v>67</v>
      </c>
      <c r="M46" s="424" t="s">
        <v>396</v>
      </c>
      <c r="N46" s="209">
        <v>0.7</v>
      </c>
      <c r="O46" s="205"/>
      <c r="P46" s="206"/>
      <c r="Q46" s="128"/>
      <c r="R46" s="128"/>
    </row>
    <row r="47" spans="1:49">
      <c r="B47" s="14" t="s">
        <v>226</v>
      </c>
      <c r="G47" s="20">
        <v>1</v>
      </c>
      <c r="M47" s="228" t="s">
        <v>279</v>
      </c>
      <c r="R47" s="128"/>
      <c r="S47" s="128"/>
    </row>
    <row r="48" spans="1:49">
      <c r="B48" s="7" t="b">
        <v>0</v>
      </c>
      <c r="G48" t="s">
        <v>68</v>
      </c>
      <c r="M48" s="228" t="s">
        <v>278</v>
      </c>
      <c r="R48" s="128"/>
      <c r="S48" s="128"/>
    </row>
    <row r="49" spans="1:20">
      <c r="G49" t="s">
        <v>69</v>
      </c>
      <c r="R49" s="128"/>
      <c r="S49" s="128"/>
    </row>
    <row r="50" spans="1:20">
      <c r="R50" s="128"/>
      <c r="S50" s="128"/>
    </row>
    <row r="51" spans="1:20">
      <c r="B51" s="115"/>
      <c r="G51" s="14" t="s">
        <v>217</v>
      </c>
      <c r="R51" s="128"/>
      <c r="S51" s="128"/>
    </row>
    <row r="52" spans="1:20">
      <c r="B52" s="115"/>
      <c r="G52" s="20" t="b">
        <v>1</v>
      </c>
      <c r="R52" s="128"/>
      <c r="S52" s="128"/>
    </row>
    <row r="53" spans="1:20">
      <c r="R53" s="128"/>
      <c r="S53" s="128"/>
    </row>
    <row r="54" spans="1:20">
      <c r="A54" s="8" t="s">
        <v>101</v>
      </c>
      <c r="F54" s="8" t="s">
        <v>136</v>
      </c>
      <c r="J54" s="19"/>
      <c r="K54" s="19"/>
      <c r="M54" s="8" t="s">
        <v>328</v>
      </c>
      <c r="R54" s="223"/>
      <c r="S54" s="128"/>
    </row>
    <row r="55" spans="1:20">
      <c r="B55" s="14" t="s">
        <v>102</v>
      </c>
      <c r="F55" s="19"/>
      <c r="G55" s="30" t="s">
        <v>140</v>
      </c>
      <c r="H55" s="30" t="s">
        <v>141</v>
      </c>
      <c r="I55" s="30" t="s">
        <v>142</v>
      </c>
      <c r="J55" s="19"/>
      <c r="K55" s="19"/>
      <c r="M55" s="341">
        <v>0.1</v>
      </c>
      <c r="N55" t="s">
        <v>333</v>
      </c>
      <c r="R55" s="19"/>
      <c r="S55" s="223"/>
      <c r="T55" s="128"/>
    </row>
    <row r="56" spans="1:20">
      <c r="B56" s="17" t="s">
        <v>120</v>
      </c>
      <c r="C56" s="17" t="s">
        <v>121</v>
      </c>
      <c r="D56" s="105" t="s">
        <v>124</v>
      </c>
      <c r="F56" s="164" t="s">
        <v>3</v>
      </c>
      <c r="G56" s="21">
        <v>22</v>
      </c>
      <c r="H56" s="21">
        <v>9</v>
      </c>
      <c r="I56" s="21">
        <f t="shared" ref="I56:I67" si="7">G56+H56</f>
        <v>31</v>
      </c>
      <c r="J56" s="19"/>
      <c r="K56" s="19"/>
      <c r="R56" s="19"/>
      <c r="S56" s="223"/>
      <c r="T56" s="128"/>
    </row>
    <row r="57" spans="1:20">
      <c r="B57" s="62">
        <v>38018</v>
      </c>
      <c r="C57" s="94">
        <v>39478</v>
      </c>
      <c r="D57" s="4">
        <v>0</v>
      </c>
      <c r="F57" s="164" t="s">
        <v>190</v>
      </c>
      <c r="G57" s="21">
        <v>20</v>
      </c>
      <c r="H57" s="21">
        <v>8</v>
      </c>
      <c r="I57" s="21">
        <f t="shared" si="7"/>
        <v>28</v>
      </c>
      <c r="J57" s="19"/>
      <c r="K57" s="19"/>
      <c r="M57" s="341">
        <v>1</v>
      </c>
      <c r="N57" t="s">
        <v>334</v>
      </c>
      <c r="R57" s="19"/>
      <c r="S57" s="223"/>
      <c r="T57" s="128"/>
    </row>
    <row r="58" spans="1:20">
      <c r="B58" s="62">
        <v>39479</v>
      </c>
      <c r="C58" s="94">
        <v>39844</v>
      </c>
      <c r="D58" s="4">
        <v>0.25</v>
      </c>
      <c r="F58" s="164" t="s">
        <v>5</v>
      </c>
      <c r="G58" s="21">
        <v>22</v>
      </c>
      <c r="H58" s="21">
        <v>9</v>
      </c>
      <c r="I58" s="21">
        <f t="shared" si="7"/>
        <v>31</v>
      </c>
      <c r="J58" s="19"/>
      <c r="K58" s="19"/>
      <c r="R58" s="19"/>
      <c r="S58" s="19"/>
    </row>
    <row r="59" spans="1:20">
      <c r="B59" s="62">
        <v>39845</v>
      </c>
      <c r="C59" s="94">
        <v>40209</v>
      </c>
      <c r="D59" s="4">
        <v>0.5</v>
      </c>
      <c r="F59" s="164" t="s">
        <v>6</v>
      </c>
      <c r="G59" s="21">
        <v>21</v>
      </c>
      <c r="H59" s="21">
        <v>9</v>
      </c>
      <c r="I59" s="21">
        <f t="shared" si="7"/>
        <v>30</v>
      </c>
      <c r="J59" s="19"/>
      <c r="K59" s="19"/>
      <c r="R59" s="19"/>
      <c r="S59" s="19"/>
    </row>
    <row r="60" spans="1:20">
      <c r="B60" s="62">
        <v>40210</v>
      </c>
      <c r="C60" s="94">
        <v>40574</v>
      </c>
      <c r="D60" s="4">
        <v>0.75</v>
      </c>
      <c r="F60" s="164" t="s">
        <v>7</v>
      </c>
      <c r="G60" s="21">
        <v>22</v>
      </c>
      <c r="H60" s="21">
        <v>9</v>
      </c>
      <c r="I60" s="21">
        <f t="shared" si="7"/>
        <v>31</v>
      </c>
      <c r="J60" s="19"/>
      <c r="K60" s="19"/>
      <c r="R60" s="19"/>
      <c r="S60" s="19"/>
    </row>
    <row r="61" spans="1:20">
      <c r="B61" s="62">
        <v>40575</v>
      </c>
      <c r="D61" s="4">
        <v>1</v>
      </c>
      <c r="F61" s="164" t="s">
        <v>8</v>
      </c>
      <c r="G61" s="21">
        <v>21</v>
      </c>
      <c r="H61" s="21">
        <v>9</v>
      </c>
      <c r="I61" s="21">
        <f t="shared" si="7"/>
        <v>30</v>
      </c>
      <c r="J61" s="19"/>
      <c r="K61" s="19"/>
      <c r="M61" s="8" t="s">
        <v>335</v>
      </c>
      <c r="S61" s="19"/>
    </row>
    <row r="62" spans="1:20">
      <c r="F62" s="164" t="s">
        <v>9</v>
      </c>
      <c r="G62" s="21">
        <v>22</v>
      </c>
      <c r="H62" s="21">
        <v>9</v>
      </c>
      <c r="I62" s="21">
        <f t="shared" si="7"/>
        <v>31</v>
      </c>
      <c r="J62" s="19"/>
      <c r="K62" s="19"/>
      <c r="L62" s="19"/>
      <c r="M62" s="356">
        <v>1.1499999999999999</v>
      </c>
      <c r="N62" s="92" t="s">
        <v>336</v>
      </c>
      <c r="O62" s="92"/>
      <c r="P62" s="19"/>
      <c r="Q62" s="19"/>
      <c r="R62" s="19"/>
    </row>
    <row r="63" spans="1:20">
      <c r="B63" s="14" t="s">
        <v>119</v>
      </c>
      <c r="F63" s="164" t="s">
        <v>10</v>
      </c>
      <c r="G63" s="21">
        <v>22</v>
      </c>
      <c r="H63" s="21">
        <v>9</v>
      </c>
      <c r="I63" s="21">
        <f t="shared" si="7"/>
        <v>31</v>
      </c>
      <c r="J63" s="19"/>
      <c r="K63" s="19"/>
      <c r="L63" s="19"/>
      <c r="M63" s="341">
        <v>0.85</v>
      </c>
      <c r="N63" s="92" t="s">
        <v>337</v>
      </c>
      <c r="O63" s="19"/>
      <c r="P63" s="19"/>
      <c r="Q63" s="19"/>
      <c r="R63" s="19"/>
    </row>
    <row r="64" spans="1:20">
      <c r="B64" s="358">
        <v>40575</v>
      </c>
      <c r="F64" s="164" t="s">
        <v>11</v>
      </c>
      <c r="G64" s="21">
        <v>21</v>
      </c>
      <c r="H64" s="21">
        <v>9</v>
      </c>
      <c r="I64" s="21">
        <f t="shared" si="7"/>
        <v>30</v>
      </c>
      <c r="J64" s="19"/>
      <c r="K64" s="19"/>
      <c r="L64" s="19"/>
      <c r="M64" s="19"/>
      <c r="N64" s="19"/>
      <c r="O64" s="19"/>
      <c r="P64" s="19"/>
      <c r="Q64" s="19"/>
      <c r="R64" s="19"/>
    </row>
    <row r="65" spans="1:18">
      <c r="F65" s="164" t="s">
        <v>12</v>
      </c>
      <c r="G65" s="21">
        <v>22</v>
      </c>
      <c r="H65" s="21">
        <v>9</v>
      </c>
      <c r="I65" s="21">
        <f t="shared" si="7"/>
        <v>31</v>
      </c>
      <c r="J65" s="19"/>
      <c r="K65" s="19"/>
      <c r="L65" s="19"/>
      <c r="M65" s="8" t="s">
        <v>346</v>
      </c>
      <c r="N65" s="19"/>
      <c r="O65" s="19"/>
      <c r="P65" s="19"/>
      <c r="Q65" s="19"/>
      <c r="R65" s="19"/>
    </row>
    <row r="66" spans="1:18">
      <c r="A66" s="19"/>
      <c r="B66" s="19"/>
      <c r="C66" s="19"/>
      <c r="D66" s="19"/>
      <c r="E66" s="19"/>
      <c r="F66" s="164" t="s">
        <v>13</v>
      </c>
      <c r="G66" s="21">
        <v>21</v>
      </c>
      <c r="H66" s="21">
        <v>9</v>
      </c>
      <c r="I66" s="21">
        <f t="shared" si="7"/>
        <v>30</v>
      </c>
      <c r="J66" s="19"/>
      <c r="K66" s="19"/>
      <c r="L66" s="19"/>
      <c r="M66" s="341">
        <v>0.55000000000000004</v>
      </c>
      <c r="N66" s="19" t="s">
        <v>347</v>
      </c>
      <c r="O66" s="19"/>
      <c r="P66" s="19"/>
      <c r="Q66" s="19"/>
      <c r="R66" s="19"/>
    </row>
    <row r="67" spans="1:18">
      <c r="A67" s="19"/>
      <c r="B67" s="19"/>
      <c r="C67" s="19"/>
      <c r="D67" s="19"/>
      <c r="E67" s="19"/>
      <c r="F67" s="164" t="s">
        <v>14</v>
      </c>
      <c r="G67" s="21">
        <v>22</v>
      </c>
      <c r="H67" s="21">
        <v>9</v>
      </c>
      <c r="I67" s="30">
        <f t="shared" si="7"/>
        <v>31</v>
      </c>
      <c r="J67" s="19"/>
      <c r="K67" s="19"/>
      <c r="L67" s="19"/>
      <c r="M67" s="19"/>
      <c r="N67" s="19"/>
      <c r="O67" s="19"/>
      <c r="P67" s="19"/>
      <c r="Q67" s="19"/>
      <c r="R67" s="19"/>
    </row>
    <row r="68" spans="1:18">
      <c r="A68" s="19"/>
      <c r="B68" s="19"/>
      <c r="C68" s="19"/>
      <c r="D68" s="19"/>
      <c r="E68" s="19"/>
      <c r="F68" s="19"/>
      <c r="I68">
        <f>SUM(I56:I67)</f>
        <v>365</v>
      </c>
      <c r="J68" s="19"/>
      <c r="K68" s="19"/>
      <c r="L68" s="19"/>
      <c r="M68" s="19"/>
      <c r="N68" s="19"/>
      <c r="O68" s="19"/>
      <c r="P68" s="19"/>
      <c r="Q68" s="19"/>
      <c r="R68" s="19"/>
    </row>
    <row r="69" spans="1:18">
      <c r="A69" s="19"/>
      <c r="B69" s="19"/>
      <c r="C69" s="19"/>
      <c r="D69" s="19"/>
      <c r="E69" s="19"/>
      <c r="F69" s="19"/>
      <c r="G69" s="19"/>
      <c r="H69" s="19"/>
      <c r="I69" s="19"/>
      <c r="J69" s="19"/>
      <c r="K69" s="19"/>
      <c r="L69" s="19"/>
      <c r="M69" s="19"/>
      <c r="N69" s="19"/>
      <c r="O69" s="19"/>
      <c r="P69" s="19"/>
      <c r="Q69" s="19"/>
      <c r="R69" s="19"/>
    </row>
    <row r="70" spans="1:18">
      <c r="A70" s="19"/>
      <c r="B70" s="19"/>
      <c r="C70" s="19"/>
      <c r="D70" s="19"/>
      <c r="E70" s="19"/>
      <c r="F70" s="19"/>
      <c r="G70" s="19"/>
      <c r="H70" s="19"/>
      <c r="I70" s="19"/>
      <c r="J70" s="19"/>
      <c r="K70" s="19"/>
      <c r="L70" s="19"/>
      <c r="M70" s="19"/>
      <c r="N70" s="19"/>
      <c r="O70" s="19"/>
      <c r="P70" s="19"/>
      <c r="Q70" s="19"/>
      <c r="R70" s="19"/>
    </row>
    <row r="71" spans="1:18">
      <c r="A71" s="19"/>
      <c r="B71" s="19"/>
      <c r="C71" s="19"/>
      <c r="D71" s="19"/>
      <c r="E71" s="19"/>
      <c r="F71" s="19"/>
      <c r="G71" s="19"/>
      <c r="H71" s="19"/>
      <c r="I71" s="19"/>
      <c r="J71" s="19"/>
      <c r="K71" s="19"/>
      <c r="L71" s="19"/>
      <c r="M71" s="19"/>
      <c r="N71" s="19"/>
      <c r="O71" s="19"/>
      <c r="P71" s="19"/>
      <c r="Q71" s="19"/>
      <c r="R71" s="19"/>
    </row>
    <row r="72" spans="1:18">
      <c r="A72" s="19"/>
      <c r="B72" s="19"/>
      <c r="C72" s="19"/>
      <c r="D72" s="19"/>
      <c r="E72" s="19"/>
      <c r="F72" s="19"/>
      <c r="G72" s="19"/>
      <c r="H72" s="19"/>
      <c r="I72" s="19"/>
      <c r="J72" s="19"/>
      <c r="K72" s="19"/>
      <c r="L72" s="19"/>
      <c r="M72" s="19"/>
      <c r="N72" s="19"/>
      <c r="O72" s="19"/>
      <c r="P72" s="19"/>
      <c r="Q72" s="19"/>
      <c r="R72" s="19"/>
    </row>
    <row r="73" spans="1:18">
      <c r="A73" s="19"/>
      <c r="B73" s="19"/>
      <c r="C73" s="19"/>
      <c r="D73" s="19"/>
      <c r="E73" s="19"/>
      <c r="F73" s="19"/>
      <c r="G73" s="19"/>
      <c r="H73" s="19"/>
      <c r="I73" s="19"/>
      <c r="J73" s="19"/>
      <c r="K73" s="19"/>
      <c r="L73" s="19"/>
      <c r="M73" s="19"/>
      <c r="N73" s="19"/>
      <c r="O73" s="19"/>
      <c r="P73" s="19"/>
      <c r="Q73" s="19"/>
      <c r="R73" s="19"/>
    </row>
    <row r="74" spans="1:18">
      <c r="A74" s="19"/>
      <c r="B74" s="19"/>
      <c r="C74" s="19"/>
      <c r="D74" s="19"/>
      <c r="E74" s="19"/>
      <c r="F74" s="19"/>
      <c r="G74" s="19"/>
      <c r="H74" s="19"/>
      <c r="I74" s="19"/>
      <c r="J74" s="19"/>
      <c r="K74" s="19"/>
      <c r="L74" s="19"/>
      <c r="M74" s="19"/>
      <c r="N74" s="19"/>
      <c r="O74" s="19"/>
      <c r="P74" s="19"/>
      <c r="Q74" s="19"/>
      <c r="R74" s="19"/>
    </row>
    <row r="75" spans="1:18">
      <c r="A75" s="19"/>
      <c r="B75" s="19"/>
      <c r="C75" s="19"/>
      <c r="D75" s="19"/>
      <c r="E75" s="19"/>
      <c r="F75" s="19"/>
      <c r="G75" s="19"/>
      <c r="H75" s="19"/>
      <c r="I75" s="19"/>
      <c r="J75" s="19"/>
      <c r="K75" s="19"/>
      <c r="L75" s="19"/>
      <c r="M75" s="19"/>
      <c r="N75" s="19"/>
      <c r="O75" s="19"/>
      <c r="P75" s="19"/>
      <c r="Q75" s="19"/>
      <c r="R75" s="19"/>
    </row>
    <row r="76" spans="1:18">
      <c r="A76" s="19"/>
      <c r="B76" s="19"/>
      <c r="C76" s="19"/>
      <c r="D76" s="19"/>
      <c r="E76" s="19"/>
      <c r="F76" s="19"/>
      <c r="G76" s="19"/>
      <c r="H76" s="19"/>
      <c r="I76" s="19"/>
      <c r="J76" s="19"/>
      <c r="K76" s="19"/>
      <c r="L76" s="19"/>
      <c r="M76" s="19"/>
      <c r="N76" s="19"/>
      <c r="O76" s="19"/>
      <c r="P76" s="19"/>
      <c r="Q76" s="19"/>
      <c r="R76" s="19"/>
    </row>
    <row r="77" spans="1:18">
      <c r="A77" s="19"/>
      <c r="B77" s="19"/>
      <c r="C77" s="19"/>
      <c r="D77" s="19"/>
      <c r="E77" s="19"/>
      <c r="F77" s="19"/>
      <c r="G77" s="19"/>
      <c r="H77" s="19"/>
      <c r="I77" s="19"/>
      <c r="J77" s="19"/>
      <c r="K77" s="19"/>
      <c r="L77" s="19"/>
      <c r="M77" s="19"/>
      <c r="N77" s="19"/>
      <c r="O77" s="19"/>
      <c r="P77" s="19"/>
      <c r="Q77" s="19"/>
      <c r="R77" s="19"/>
    </row>
    <row r="78" spans="1:18">
      <c r="A78" s="19"/>
      <c r="B78" s="19"/>
      <c r="C78" s="19"/>
      <c r="D78" s="19"/>
      <c r="E78" s="19"/>
      <c r="F78" s="19"/>
      <c r="G78" s="19"/>
      <c r="H78" s="19"/>
      <c r="I78" s="19"/>
      <c r="J78" s="19"/>
      <c r="K78" s="19"/>
      <c r="L78" s="19"/>
      <c r="M78" s="19"/>
      <c r="N78" s="19"/>
      <c r="O78" s="19"/>
      <c r="P78" s="19"/>
      <c r="Q78" s="19"/>
      <c r="R78" s="19"/>
    </row>
    <row r="79" spans="1:18">
      <c r="A79" s="19"/>
      <c r="B79" s="19"/>
      <c r="C79" s="19"/>
      <c r="D79" s="19"/>
      <c r="E79" s="19"/>
      <c r="F79" s="19"/>
      <c r="G79" s="19"/>
      <c r="H79" s="19"/>
      <c r="I79" s="19"/>
      <c r="J79" s="19"/>
      <c r="K79" s="19"/>
      <c r="L79" s="19"/>
      <c r="M79" s="19"/>
      <c r="N79" s="19"/>
      <c r="O79" s="19"/>
      <c r="P79" s="19"/>
      <c r="Q79" s="19"/>
      <c r="R79" s="19"/>
    </row>
    <row r="80" spans="1:18">
      <c r="A80" s="19"/>
      <c r="B80" s="19"/>
      <c r="C80" s="19"/>
      <c r="D80" s="19"/>
      <c r="E80" s="19"/>
      <c r="F80" s="19"/>
      <c r="G80" s="19"/>
      <c r="H80" s="19"/>
      <c r="I80" s="19"/>
      <c r="J80" s="19"/>
      <c r="K80" s="19"/>
      <c r="L80" s="19"/>
      <c r="M80" s="19"/>
      <c r="N80" s="19"/>
      <c r="O80" s="19"/>
      <c r="P80" s="19"/>
      <c r="Q80" s="19"/>
      <c r="R80" s="19"/>
    </row>
    <row r="81" spans="1:18">
      <c r="A81" s="19"/>
      <c r="B81" s="19"/>
      <c r="C81" s="19"/>
      <c r="D81" s="19"/>
      <c r="E81" s="19"/>
      <c r="F81" s="19"/>
      <c r="G81" s="19"/>
      <c r="H81" s="19"/>
      <c r="I81" s="19"/>
      <c r="J81" s="19"/>
      <c r="K81" s="19"/>
      <c r="L81" s="19"/>
      <c r="M81" s="19"/>
      <c r="N81" s="19"/>
      <c r="O81" s="19"/>
      <c r="P81" s="19"/>
      <c r="Q81" s="19"/>
      <c r="R81" s="19"/>
    </row>
    <row r="82" spans="1:18">
      <c r="A82" s="19"/>
      <c r="B82" s="19"/>
      <c r="C82" s="19"/>
      <c r="D82" s="19"/>
      <c r="E82" s="19"/>
      <c r="F82" s="19"/>
      <c r="G82" s="19"/>
      <c r="H82" s="19"/>
      <c r="I82" s="19"/>
      <c r="J82" s="19"/>
      <c r="K82" s="19"/>
      <c r="L82" s="19"/>
      <c r="M82" s="19"/>
      <c r="N82" s="19"/>
      <c r="O82" s="19"/>
      <c r="P82" s="19"/>
      <c r="Q82" s="19"/>
      <c r="R82" s="19"/>
    </row>
    <row r="83" spans="1:18">
      <c r="A83" s="19"/>
      <c r="B83" s="19"/>
      <c r="C83" s="19"/>
      <c r="D83" s="19"/>
      <c r="E83" s="19"/>
      <c r="F83" s="19"/>
      <c r="G83" s="19"/>
      <c r="H83" s="19"/>
      <c r="I83" s="19"/>
      <c r="J83" s="19"/>
      <c r="K83" s="19"/>
      <c r="L83" s="19"/>
      <c r="M83" s="19"/>
      <c r="N83" s="19"/>
      <c r="O83" s="19"/>
      <c r="P83" s="19"/>
      <c r="Q83" s="19"/>
      <c r="R83" s="19"/>
    </row>
    <row r="84" spans="1:18">
      <c r="A84" s="19"/>
      <c r="B84" s="19"/>
      <c r="C84" s="19"/>
      <c r="D84" s="19"/>
      <c r="E84" s="19"/>
      <c r="F84" s="19"/>
      <c r="G84" s="19"/>
      <c r="H84" s="19"/>
      <c r="I84" s="19"/>
      <c r="J84" s="19"/>
      <c r="K84" s="19"/>
      <c r="L84" s="19"/>
      <c r="M84" s="19"/>
      <c r="N84" s="19"/>
      <c r="O84" s="19"/>
      <c r="P84" s="19"/>
      <c r="Q84" s="19"/>
      <c r="R84" s="19"/>
    </row>
    <row r="85" spans="1:18">
      <c r="A85" s="19"/>
      <c r="B85" s="19"/>
      <c r="C85" s="19"/>
      <c r="D85" s="19"/>
      <c r="E85" s="19"/>
      <c r="F85" s="19"/>
      <c r="G85" s="19"/>
      <c r="H85" s="19"/>
      <c r="I85" s="19"/>
      <c r="J85" s="19"/>
      <c r="K85" s="19"/>
      <c r="L85" s="19"/>
      <c r="M85" s="19"/>
      <c r="N85" s="19"/>
      <c r="O85" s="19"/>
      <c r="P85" s="19"/>
      <c r="Q85" s="19"/>
      <c r="R85" s="19"/>
    </row>
    <row r="86" spans="1:18">
      <c r="A86" s="19"/>
      <c r="B86" s="19"/>
      <c r="C86" s="19"/>
      <c r="D86" s="19"/>
      <c r="E86" s="19"/>
      <c r="F86" s="19"/>
      <c r="G86" s="19"/>
      <c r="H86" s="19"/>
      <c r="I86" s="19"/>
      <c r="J86" s="19"/>
      <c r="K86" s="19"/>
      <c r="L86" s="19"/>
      <c r="M86" s="19"/>
      <c r="N86" s="19"/>
      <c r="O86" s="19"/>
      <c r="P86" s="19"/>
      <c r="Q86" s="19"/>
      <c r="R86" s="19"/>
    </row>
  </sheetData>
  <mergeCells count="30">
    <mergeCell ref="AA4:AC4"/>
    <mergeCell ref="B13:C13"/>
    <mergeCell ref="F4:G4"/>
    <mergeCell ref="H4:I4"/>
    <mergeCell ref="O4:R4"/>
    <mergeCell ref="AM4:AO4"/>
    <mergeCell ref="AP4:AQ4"/>
    <mergeCell ref="S4:V4"/>
    <mergeCell ref="AG4:AH4"/>
    <mergeCell ref="AI4:AJ4"/>
    <mergeCell ref="AD4:AF4"/>
    <mergeCell ref="G42:H42"/>
    <mergeCell ref="G43:H43"/>
    <mergeCell ref="B6:C6"/>
    <mergeCell ref="B7:C7"/>
    <mergeCell ref="B8:C8"/>
    <mergeCell ref="B9:C9"/>
    <mergeCell ref="B14:C14"/>
    <mergeCell ref="B10:C10"/>
    <mergeCell ref="B11:C11"/>
    <mergeCell ref="B12:C12"/>
    <mergeCell ref="B33:C33"/>
    <mergeCell ref="B29:C29"/>
    <mergeCell ref="B30:C30"/>
    <mergeCell ref="B31:C31"/>
    <mergeCell ref="B32:C32"/>
    <mergeCell ref="B25:C25"/>
    <mergeCell ref="B26:C26"/>
    <mergeCell ref="B27:C27"/>
    <mergeCell ref="B28:C28"/>
  </mergeCells>
  <phoneticPr fontId="0" type="noConversion"/>
  <dataValidations disablePrompts="1" xWindow="343" yWindow="404" count="2">
    <dataValidation allowBlank="1" showInputMessage="1" showErrorMessage="1" promptTitle="Location " prompt="The &quot;MAC&quot; portion of the Con Edison tariff varies by location; NYC is in the NYSISO Zone J, and Westchester covers Zones H and I." sqref="G47"/>
    <dataValidation allowBlank="1" showInputMessage="1" showErrorMessage="1" promptTitle="Electric Chiller " prompt="If the site has electric chilling (and value is TRUE) then a summer peak demand discount is applied to the &quot;with chp&quot; standby and OASC tariff calculations. " sqref="G52"/>
  </dataValidations>
  <pageMargins left="0.5" right="0.5" top="0.75" bottom="0.75" header="0.5" footer="0.5"/>
  <pageSetup scale="49" pageOrder="overThenDown" orientation="landscape"/>
  <headerFooter>
    <oddHeader>&amp;C&amp;"Arial,Bold"ConEd_Est_v1</oddHeader>
    <oddFooter>&amp;C&amp;"Arial,Bold"&amp;A&amp;RPage &amp;P</oddFooter>
  </headerFooter>
  <colBreaks count="1" manualBreakCount="1">
    <brk id="26" max="60" man="1"/>
  </colBreaks>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pageSetUpPr fitToPage="1"/>
  </sheetPr>
  <dimension ref="A1:AB96"/>
  <sheetViews>
    <sheetView zoomScale="85" workbookViewId="0">
      <selection activeCell="U14" sqref="U14"/>
    </sheetView>
  </sheetViews>
  <sheetFormatPr baseColWidth="10" defaultColWidth="8.83203125" defaultRowHeight="12" x14ac:dyDescent="0"/>
  <cols>
    <col min="1" max="1" width="4.6640625" customWidth="1"/>
    <col min="2" max="2" width="9.6640625" customWidth="1"/>
    <col min="3" max="24" width="8.6640625" customWidth="1"/>
    <col min="25" max="25" width="9.33203125" customWidth="1"/>
  </cols>
  <sheetData>
    <row r="1" spans="2:28" ht="15">
      <c r="B1" s="3" t="s">
        <v>79</v>
      </c>
      <c r="C1" s="3"/>
      <c r="D1" s="501" t="str">
        <f>CONCATENATE("Selection: ",IF(Tables!G41=1,Tables!I42,Tables!I43+Tables!I42)," hours")</f>
        <v>Selection: 11 hours</v>
      </c>
      <c r="E1" s="502"/>
      <c r="M1" s="8" t="s">
        <v>248</v>
      </c>
      <c r="U1" s="498" t="str">
        <f>CONCATENATE("Nameplate: ",Nameplate)</f>
        <v>Nameplate: 300</v>
      </c>
      <c r="V1" s="498"/>
      <c r="W1" s="8" t="s">
        <v>253</v>
      </c>
      <c r="X1" s="8"/>
    </row>
    <row r="2" spans="2:28">
      <c r="B2" s="8" t="s">
        <v>81</v>
      </c>
      <c r="I2" s="8" t="s">
        <v>136</v>
      </c>
      <c r="M2" s="14" t="s">
        <v>250</v>
      </c>
      <c r="O2" s="14" t="s">
        <v>247</v>
      </c>
      <c r="U2" s="8" t="s">
        <v>243</v>
      </c>
      <c r="W2" s="8" t="s">
        <v>137</v>
      </c>
      <c r="X2" s="8"/>
    </row>
    <row r="3" spans="2:28">
      <c r="C3" s="17" t="s">
        <v>80</v>
      </c>
      <c r="D3" s="17" t="s">
        <v>53</v>
      </c>
      <c r="E3" s="76" t="s">
        <v>151</v>
      </c>
      <c r="F3" s="76" t="s">
        <v>35</v>
      </c>
      <c r="G3" s="30" t="s">
        <v>54</v>
      </c>
      <c r="H3" s="30"/>
      <c r="I3" s="30" t="s">
        <v>140</v>
      </c>
      <c r="J3" s="30" t="s">
        <v>141</v>
      </c>
      <c r="K3" s="30" t="s">
        <v>142</v>
      </c>
      <c r="L3" s="30"/>
      <c r="M3" s="17" t="s">
        <v>53</v>
      </c>
      <c r="N3" s="76" t="s">
        <v>151</v>
      </c>
      <c r="O3" s="76" t="s">
        <v>35</v>
      </c>
      <c r="P3" s="76" t="s">
        <v>249</v>
      </c>
      <c r="Q3" s="176" t="s">
        <v>143</v>
      </c>
      <c r="R3" s="185" t="s">
        <v>54</v>
      </c>
      <c r="T3" s="176" t="s">
        <v>394</v>
      </c>
      <c r="U3" s="29" t="s">
        <v>232</v>
      </c>
      <c r="V3" s="30"/>
      <c r="W3" s="17" t="s">
        <v>53</v>
      </c>
      <c r="X3" s="30" t="s">
        <v>254</v>
      </c>
      <c r="Y3" s="17" t="s">
        <v>138</v>
      </c>
      <c r="Z3" s="17" t="s">
        <v>139</v>
      </c>
      <c r="AA3" s="365" t="s">
        <v>378</v>
      </c>
      <c r="AB3" s="30" t="s">
        <v>144</v>
      </c>
    </row>
    <row r="4" spans="2:28">
      <c r="B4" s="11" t="s">
        <v>37</v>
      </c>
      <c r="C4" s="28" t="str">
        <f>IF(Tables!G$41=1,"Peak","24 Hrs")</f>
        <v>Peak</v>
      </c>
      <c r="D4" s="28">
        <f>Tables!I$42</f>
        <v>11</v>
      </c>
      <c r="F4" s="28">
        <f>IF(Tables!$G$41=2,Tables!$I$43,0)</f>
        <v>0</v>
      </c>
      <c r="G4">
        <f t="shared" ref="G4:G15" si="0">D4+F4</f>
        <v>11</v>
      </c>
      <c r="I4" s="21">
        <f>Tables!G56</f>
        <v>22</v>
      </c>
      <c r="J4" s="28">
        <f>IF(Tables!$G$41=2,Tables!H56,0)</f>
        <v>0</v>
      </c>
      <c r="K4" s="21">
        <f>Tables!I56</f>
        <v>31</v>
      </c>
      <c r="L4" s="21"/>
      <c r="M4" s="21">
        <f>D4*I4</f>
        <v>242</v>
      </c>
      <c r="N4" s="21">
        <f>I4*E4</f>
        <v>0</v>
      </c>
      <c r="O4" s="214">
        <f>F4*I4</f>
        <v>0</v>
      </c>
      <c r="P4" s="216">
        <f t="shared" ref="P4:P15" si="1">J4*24</f>
        <v>0</v>
      </c>
      <c r="Q4">
        <f>O4+P4</f>
        <v>0</v>
      </c>
      <c r="R4" s="214">
        <f>M4+O4+P4</f>
        <v>242</v>
      </c>
      <c r="T4" s="421">
        <f>'Inputs &amp; Outputs'!$K$24</f>
        <v>0.05</v>
      </c>
      <c r="U4" s="215">
        <f t="shared" ref="U4:U15" si="2">Nameplate-(Nameplate*T4)</f>
        <v>285</v>
      </c>
      <c r="W4" s="130">
        <f t="shared" ref="W4:W15" si="3">U4*M4</f>
        <v>68970</v>
      </c>
      <c r="X4" s="18">
        <f>W4</f>
        <v>68970</v>
      </c>
      <c r="Y4" s="18">
        <f t="shared" ref="Y4:Y15" si="4">U4*O4</f>
        <v>0</v>
      </c>
      <c r="Z4" s="18">
        <f t="shared" ref="Z4:Z15" si="5">U4*P4</f>
        <v>0</v>
      </c>
      <c r="AA4" s="130">
        <f>Y4+Z4</f>
        <v>0</v>
      </c>
      <c r="AB4" s="213">
        <f t="shared" ref="AB4:AB15" si="6">W4+AA4</f>
        <v>68970</v>
      </c>
    </row>
    <row r="5" spans="2:28">
      <c r="B5" s="12" t="s">
        <v>38</v>
      </c>
      <c r="C5" s="28" t="str">
        <f>IF(Tables!G$41=1,"Peak","24 Hrs")</f>
        <v>Peak</v>
      </c>
      <c r="D5" s="28">
        <f>Tables!I$42</f>
        <v>11</v>
      </c>
      <c r="F5" s="28">
        <f>IF(Tables!$G$41=2,Tables!$I$43,0)</f>
        <v>0</v>
      </c>
      <c r="G5">
        <f t="shared" si="0"/>
        <v>11</v>
      </c>
      <c r="I5" s="21">
        <f>Tables!G57</f>
        <v>20</v>
      </c>
      <c r="J5" s="28">
        <f>IF(Tables!$G$41=2,Tables!H57,0)</f>
        <v>0</v>
      </c>
      <c r="K5" s="21">
        <f>Tables!I57</f>
        <v>28</v>
      </c>
      <c r="L5" s="21"/>
      <c r="M5" s="21">
        <f t="shared" ref="M5:M15" si="7">D5*I5</f>
        <v>220</v>
      </c>
      <c r="N5" s="21">
        <f t="shared" ref="N5:N15" si="8">I5*E5</f>
        <v>0</v>
      </c>
      <c r="O5" s="214">
        <f t="shared" ref="O5:O15" si="9">F5*I5</f>
        <v>0</v>
      </c>
      <c r="P5" s="216">
        <f t="shared" si="1"/>
        <v>0</v>
      </c>
      <c r="Q5">
        <f t="shared" ref="Q5:Q15" si="10">O5+P5</f>
        <v>0</v>
      </c>
      <c r="R5" s="214">
        <f t="shared" ref="R5:R15" si="11">M5+O5+P5</f>
        <v>220</v>
      </c>
      <c r="T5" s="421">
        <f>'Inputs &amp; Outputs'!$K$24</f>
        <v>0.05</v>
      </c>
      <c r="U5" s="215">
        <f t="shared" si="2"/>
        <v>285</v>
      </c>
      <c r="W5" s="130">
        <f t="shared" si="3"/>
        <v>62700</v>
      </c>
      <c r="X5" s="18">
        <f t="shared" ref="X5:X15" si="12">W5</f>
        <v>62700</v>
      </c>
      <c r="Y5" s="18">
        <f t="shared" si="4"/>
        <v>0</v>
      </c>
      <c r="Z5" s="18">
        <f t="shared" si="5"/>
        <v>0</v>
      </c>
      <c r="AA5" s="130">
        <f t="shared" ref="AA5:AA15" si="13">Y5+Z5</f>
        <v>0</v>
      </c>
      <c r="AB5" s="213">
        <f t="shared" si="6"/>
        <v>62700</v>
      </c>
    </row>
    <row r="6" spans="2:28">
      <c r="B6" s="11" t="s">
        <v>39</v>
      </c>
      <c r="C6" s="28" t="str">
        <f>IF(Tables!G$41=1,"Peak","24 Hrs")</f>
        <v>Peak</v>
      </c>
      <c r="D6" s="28">
        <f>Tables!I$42</f>
        <v>11</v>
      </c>
      <c r="F6" s="28">
        <f>IF(Tables!$G$41=2,Tables!$I$43,0)</f>
        <v>0</v>
      </c>
      <c r="G6">
        <f t="shared" si="0"/>
        <v>11</v>
      </c>
      <c r="I6" s="21">
        <f>Tables!G58</f>
        <v>22</v>
      </c>
      <c r="J6" s="28">
        <f>IF(Tables!$G$41=2,Tables!H58,0)</f>
        <v>0</v>
      </c>
      <c r="K6" s="21">
        <f>Tables!I58</f>
        <v>31</v>
      </c>
      <c r="L6" s="21"/>
      <c r="M6" s="21">
        <f t="shared" si="7"/>
        <v>242</v>
      </c>
      <c r="N6" s="21">
        <f t="shared" si="8"/>
        <v>0</v>
      </c>
      <c r="O6" s="214">
        <f t="shared" si="9"/>
        <v>0</v>
      </c>
      <c r="P6" s="216">
        <f t="shared" si="1"/>
        <v>0</v>
      </c>
      <c r="Q6">
        <f t="shared" si="10"/>
        <v>0</v>
      </c>
      <c r="R6" s="214">
        <f t="shared" si="11"/>
        <v>242</v>
      </c>
      <c r="T6" s="421">
        <f>'Inputs &amp; Outputs'!$K$24</f>
        <v>0.05</v>
      </c>
      <c r="U6" s="215">
        <f t="shared" si="2"/>
        <v>285</v>
      </c>
      <c r="W6" s="130">
        <f t="shared" si="3"/>
        <v>68970</v>
      </c>
      <c r="X6" s="18">
        <f t="shared" si="12"/>
        <v>68970</v>
      </c>
      <c r="Y6" s="18">
        <f t="shared" si="4"/>
        <v>0</v>
      </c>
      <c r="Z6" s="18">
        <f t="shared" si="5"/>
        <v>0</v>
      </c>
      <c r="AA6" s="130">
        <f t="shared" si="13"/>
        <v>0</v>
      </c>
      <c r="AB6" s="213">
        <f t="shared" si="6"/>
        <v>68970</v>
      </c>
    </row>
    <row r="7" spans="2:28">
      <c r="B7" s="12" t="s">
        <v>40</v>
      </c>
      <c r="C7" s="28" t="str">
        <f>IF(Tables!G$41=1,"Peak","24 Hrs")</f>
        <v>Peak</v>
      </c>
      <c r="D7" s="28">
        <f>Tables!I$42</f>
        <v>11</v>
      </c>
      <c r="F7" s="28">
        <f>IF(Tables!$G$41=2,Tables!$I$43,0)</f>
        <v>0</v>
      </c>
      <c r="G7">
        <f t="shared" si="0"/>
        <v>11</v>
      </c>
      <c r="I7" s="21">
        <f>Tables!G59</f>
        <v>21</v>
      </c>
      <c r="J7" s="28">
        <f>IF(Tables!$G$41=2,Tables!H59,0)</f>
        <v>0</v>
      </c>
      <c r="K7" s="21">
        <f>Tables!I59</f>
        <v>30</v>
      </c>
      <c r="L7" s="21"/>
      <c r="M7" s="21">
        <f t="shared" si="7"/>
        <v>231</v>
      </c>
      <c r="N7" s="21">
        <f>I7*E7</f>
        <v>0</v>
      </c>
      <c r="O7" s="214">
        <f t="shared" si="9"/>
        <v>0</v>
      </c>
      <c r="P7" s="216">
        <f t="shared" si="1"/>
        <v>0</v>
      </c>
      <c r="Q7">
        <f t="shared" si="10"/>
        <v>0</v>
      </c>
      <c r="R7" s="214">
        <f t="shared" si="11"/>
        <v>231</v>
      </c>
      <c r="T7" s="421">
        <f>'Inputs &amp; Outputs'!$K$24</f>
        <v>0.05</v>
      </c>
      <c r="U7" s="215">
        <f t="shared" si="2"/>
        <v>285</v>
      </c>
      <c r="W7" s="130">
        <f t="shared" si="3"/>
        <v>65835</v>
      </c>
      <c r="X7" s="18">
        <f t="shared" si="12"/>
        <v>65835</v>
      </c>
      <c r="Y7" s="18">
        <f t="shared" si="4"/>
        <v>0</v>
      </c>
      <c r="Z7" s="18">
        <f t="shared" si="5"/>
        <v>0</v>
      </c>
      <c r="AA7" s="130">
        <f t="shared" si="13"/>
        <v>0</v>
      </c>
      <c r="AB7" s="213">
        <f t="shared" si="6"/>
        <v>65835</v>
      </c>
    </row>
    <row r="8" spans="2:28">
      <c r="B8" s="11" t="s">
        <v>7</v>
      </c>
      <c r="C8" s="28" t="str">
        <f>IF(Tables!G$41=1,"Peak","24 Hrs")</f>
        <v>Peak</v>
      </c>
      <c r="D8" s="28">
        <f>Tables!I$42</f>
        <v>11</v>
      </c>
      <c r="F8" s="28">
        <f>IF(Tables!$G$41=2,Tables!$I$43,0)</f>
        <v>0</v>
      </c>
      <c r="G8">
        <f t="shared" si="0"/>
        <v>11</v>
      </c>
      <c r="I8" s="21">
        <f>Tables!G60</f>
        <v>22</v>
      </c>
      <c r="J8" s="28">
        <f>IF(Tables!$G$41=2,Tables!H60,0)</f>
        <v>0</v>
      </c>
      <c r="K8" s="21">
        <f>Tables!I60</f>
        <v>31</v>
      </c>
      <c r="L8" s="21"/>
      <c r="M8" s="21">
        <f t="shared" si="7"/>
        <v>242</v>
      </c>
      <c r="N8" s="21">
        <f t="shared" si="8"/>
        <v>0</v>
      </c>
      <c r="O8" s="214">
        <f t="shared" si="9"/>
        <v>0</v>
      </c>
      <c r="P8" s="216">
        <f t="shared" si="1"/>
        <v>0</v>
      </c>
      <c r="Q8">
        <f t="shared" si="10"/>
        <v>0</v>
      </c>
      <c r="R8" s="214">
        <f t="shared" si="11"/>
        <v>242</v>
      </c>
      <c r="T8" s="421">
        <f>'Inputs &amp; Outputs'!$K$24</f>
        <v>0.05</v>
      </c>
      <c r="U8" s="215">
        <f t="shared" si="2"/>
        <v>285</v>
      </c>
      <c r="W8" s="130">
        <f t="shared" si="3"/>
        <v>68970</v>
      </c>
      <c r="X8" s="18">
        <f t="shared" si="12"/>
        <v>68970</v>
      </c>
      <c r="Y8" s="18">
        <f t="shared" si="4"/>
        <v>0</v>
      </c>
      <c r="Z8" s="18">
        <f t="shared" si="5"/>
        <v>0</v>
      </c>
      <c r="AA8" s="130">
        <f t="shared" si="13"/>
        <v>0</v>
      </c>
      <c r="AB8" s="213">
        <f t="shared" si="6"/>
        <v>68970</v>
      </c>
    </row>
    <row r="9" spans="2:28">
      <c r="B9" s="12" t="s">
        <v>41</v>
      </c>
      <c r="C9" s="28" t="str">
        <f>IF(Tables!G$41=1,"Peak","24 Hrs")</f>
        <v>Peak</v>
      </c>
      <c r="D9" s="28">
        <f>Tables!I$42</f>
        <v>11</v>
      </c>
      <c r="F9" s="28">
        <f>IF(Tables!$G$41=2,Tables!$I$43,0)</f>
        <v>0</v>
      </c>
      <c r="G9">
        <f t="shared" si="0"/>
        <v>11</v>
      </c>
      <c r="I9" s="21">
        <f>Tables!G61</f>
        <v>21</v>
      </c>
      <c r="J9" s="28">
        <f>IF(Tables!$G$41=2,Tables!H61,0)</f>
        <v>0</v>
      </c>
      <c r="K9" s="21">
        <f>Tables!I61</f>
        <v>30</v>
      </c>
      <c r="L9" s="21"/>
      <c r="M9" s="21">
        <f t="shared" si="7"/>
        <v>231</v>
      </c>
      <c r="N9" s="21">
        <f t="shared" si="8"/>
        <v>0</v>
      </c>
      <c r="O9" s="214">
        <f t="shared" si="9"/>
        <v>0</v>
      </c>
      <c r="P9" s="216">
        <f t="shared" si="1"/>
        <v>0</v>
      </c>
      <c r="Q9">
        <f t="shared" si="10"/>
        <v>0</v>
      </c>
      <c r="R9" s="214">
        <f t="shared" si="11"/>
        <v>231</v>
      </c>
      <c r="T9" s="421">
        <f>'Inputs &amp; Outputs'!$K$24</f>
        <v>0.05</v>
      </c>
      <c r="U9" s="215">
        <f t="shared" si="2"/>
        <v>285</v>
      </c>
      <c r="W9" s="130">
        <f t="shared" si="3"/>
        <v>65835</v>
      </c>
      <c r="X9" s="18">
        <f t="shared" si="12"/>
        <v>65835</v>
      </c>
      <c r="Y9" s="18">
        <f t="shared" si="4"/>
        <v>0</v>
      </c>
      <c r="Z9" s="18">
        <f t="shared" si="5"/>
        <v>0</v>
      </c>
      <c r="AA9" s="130">
        <f t="shared" si="13"/>
        <v>0</v>
      </c>
      <c r="AB9" s="213">
        <f t="shared" si="6"/>
        <v>65835</v>
      </c>
    </row>
    <row r="10" spans="2:28">
      <c r="B10" s="11" t="s">
        <v>42</v>
      </c>
      <c r="C10" s="28" t="str">
        <f>IF(Tables!G$41=1,"Peak","24 Hrs")</f>
        <v>Peak</v>
      </c>
      <c r="D10" s="28">
        <f>Tables!I$42</f>
        <v>11</v>
      </c>
      <c r="F10" s="28">
        <f>IF(Tables!$G$41=2,Tables!$I$43,0)</f>
        <v>0</v>
      </c>
      <c r="G10">
        <f t="shared" si="0"/>
        <v>11</v>
      </c>
      <c r="I10" s="21">
        <f>Tables!G62</f>
        <v>22</v>
      </c>
      <c r="J10" s="28">
        <f>IF(Tables!$G$41=2,Tables!H62,0)</f>
        <v>0</v>
      </c>
      <c r="K10" s="21">
        <f>Tables!I62</f>
        <v>31</v>
      </c>
      <c r="L10" s="21"/>
      <c r="M10" s="21">
        <f t="shared" si="7"/>
        <v>242</v>
      </c>
      <c r="N10" s="21">
        <f t="shared" si="8"/>
        <v>0</v>
      </c>
      <c r="O10" s="214">
        <f t="shared" si="9"/>
        <v>0</v>
      </c>
      <c r="P10" s="216">
        <f t="shared" si="1"/>
        <v>0</v>
      </c>
      <c r="Q10">
        <f t="shared" si="10"/>
        <v>0</v>
      </c>
      <c r="R10" s="214">
        <f t="shared" si="11"/>
        <v>242</v>
      </c>
      <c r="T10" s="421">
        <f>'Inputs &amp; Outputs'!$K$24</f>
        <v>0.05</v>
      </c>
      <c r="U10" s="215">
        <f t="shared" si="2"/>
        <v>285</v>
      </c>
      <c r="W10" s="130">
        <f t="shared" si="3"/>
        <v>68970</v>
      </c>
      <c r="X10" s="18">
        <f t="shared" si="12"/>
        <v>68970</v>
      </c>
      <c r="Y10" s="18">
        <f t="shared" si="4"/>
        <v>0</v>
      </c>
      <c r="Z10" s="18">
        <f t="shared" si="5"/>
        <v>0</v>
      </c>
      <c r="AA10" s="130">
        <f t="shared" si="13"/>
        <v>0</v>
      </c>
      <c r="AB10" s="213">
        <f t="shared" si="6"/>
        <v>68970</v>
      </c>
    </row>
    <row r="11" spans="2:28">
      <c r="B11" s="12" t="s">
        <v>43</v>
      </c>
      <c r="C11" s="28" t="str">
        <f>IF(Tables!G$41=1,"Peak","24 Hrs")</f>
        <v>Peak</v>
      </c>
      <c r="D11" s="28">
        <f>Tables!I$42</f>
        <v>11</v>
      </c>
      <c r="F11" s="28">
        <f>IF(Tables!$G$41=2,Tables!$I$43,0)</f>
        <v>0</v>
      </c>
      <c r="G11">
        <f t="shared" si="0"/>
        <v>11</v>
      </c>
      <c r="I11" s="21">
        <f>Tables!G63</f>
        <v>22</v>
      </c>
      <c r="J11" s="28">
        <f>IF(Tables!$G$41=2,Tables!H63,0)</f>
        <v>0</v>
      </c>
      <c r="K11" s="21">
        <f>Tables!I63</f>
        <v>31</v>
      </c>
      <c r="L11" s="21"/>
      <c r="M11" s="21">
        <f t="shared" si="7"/>
        <v>242</v>
      </c>
      <c r="N11" s="21">
        <f t="shared" si="8"/>
        <v>0</v>
      </c>
      <c r="O11" s="214">
        <f t="shared" si="9"/>
        <v>0</v>
      </c>
      <c r="P11" s="216">
        <f t="shared" si="1"/>
        <v>0</v>
      </c>
      <c r="Q11">
        <f t="shared" si="10"/>
        <v>0</v>
      </c>
      <c r="R11" s="214">
        <f t="shared" si="11"/>
        <v>242</v>
      </c>
      <c r="T11" s="421">
        <f>'Inputs &amp; Outputs'!$K$24</f>
        <v>0.05</v>
      </c>
      <c r="U11" s="215">
        <f t="shared" si="2"/>
        <v>285</v>
      </c>
      <c r="W11" s="130">
        <f t="shared" si="3"/>
        <v>68970</v>
      </c>
      <c r="X11" s="18">
        <f t="shared" si="12"/>
        <v>68970</v>
      </c>
      <c r="Y11" s="18">
        <f t="shared" si="4"/>
        <v>0</v>
      </c>
      <c r="Z11" s="18">
        <f t="shared" si="5"/>
        <v>0</v>
      </c>
      <c r="AA11" s="130">
        <f t="shared" si="13"/>
        <v>0</v>
      </c>
      <c r="AB11" s="213">
        <f t="shared" si="6"/>
        <v>68970</v>
      </c>
    </row>
    <row r="12" spans="2:28">
      <c r="B12" s="11" t="s">
        <v>44</v>
      </c>
      <c r="C12" s="28" t="str">
        <f>IF(Tables!G$41=1,"Peak","24 Hrs")</f>
        <v>Peak</v>
      </c>
      <c r="D12" s="28">
        <f>Tables!I$42</f>
        <v>11</v>
      </c>
      <c r="F12" s="28">
        <f>IF(Tables!$G$41=2,Tables!$I$43,0)</f>
        <v>0</v>
      </c>
      <c r="G12">
        <f t="shared" si="0"/>
        <v>11</v>
      </c>
      <c r="I12" s="21">
        <f>Tables!G64</f>
        <v>21</v>
      </c>
      <c r="J12" s="28">
        <f>IF(Tables!$G$41=2,Tables!H64,0)</f>
        <v>0</v>
      </c>
      <c r="K12" s="21">
        <f>Tables!I64</f>
        <v>30</v>
      </c>
      <c r="L12" s="21"/>
      <c r="M12" s="21">
        <f t="shared" si="7"/>
        <v>231</v>
      </c>
      <c r="N12" s="21">
        <f t="shared" si="8"/>
        <v>0</v>
      </c>
      <c r="O12" s="214">
        <f t="shared" si="9"/>
        <v>0</v>
      </c>
      <c r="P12" s="216">
        <f t="shared" si="1"/>
        <v>0</v>
      </c>
      <c r="Q12">
        <f t="shared" si="10"/>
        <v>0</v>
      </c>
      <c r="R12" s="214">
        <f t="shared" si="11"/>
        <v>231</v>
      </c>
      <c r="T12" s="421">
        <f>'Inputs &amp; Outputs'!$K$24</f>
        <v>0.05</v>
      </c>
      <c r="U12" s="215">
        <f t="shared" si="2"/>
        <v>285</v>
      </c>
      <c r="W12" s="130">
        <f t="shared" si="3"/>
        <v>65835</v>
      </c>
      <c r="X12" s="18">
        <f t="shared" si="12"/>
        <v>65835</v>
      </c>
      <c r="Y12" s="18">
        <f t="shared" si="4"/>
        <v>0</v>
      </c>
      <c r="Z12" s="18">
        <f t="shared" si="5"/>
        <v>0</v>
      </c>
      <c r="AA12" s="130">
        <f t="shared" si="13"/>
        <v>0</v>
      </c>
      <c r="AB12" s="213">
        <f t="shared" si="6"/>
        <v>65835</v>
      </c>
    </row>
    <row r="13" spans="2:28">
      <c r="B13" s="12" t="s">
        <v>45</v>
      </c>
      <c r="C13" s="28" t="str">
        <f>IF(Tables!G$41=1,"Peak","24 Hrs")</f>
        <v>Peak</v>
      </c>
      <c r="D13" s="28">
        <f>Tables!I$42</f>
        <v>11</v>
      </c>
      <c r="F13" s="28">
        <f>IF(Tables!$G$41=2,Tables!$I$43,0)</f>
        <v>0</v>
      </c>
      <c r="G13">
        <f t="shared" si="0"/>
        <v>11</v>
      </c>
      <c r="I13" s="21">
        <f>Tables!G65</f>
        <v>22</v>
      </c>
      <c r="J13" s="28">
        <f>IF(Tables!$G$41=2,Tables!H65,0)</f>
        <v>0</v>
      </c>
      <c r="K13" s="21">
        <f>Tables!I65</f>
        <v>31</v>
      </c>
      <c r="L13" s="21"/>
      <c r="M13" s="21">
        <f t="shared" si="7"/>
        <v>242</v>
      </c>
      <c r="N13" s="21">
        <f t="shared" si="8"/>
        <v>0</v>
      </c>
      <c r="O13" s="214">
        <f t="shared" si="9"/>
        <v>0</v>
      </c>
      <c r="P13" s="216">
        <f t="shared" si="1"/>
        <v>0</v>
      </c>
      <c r="Q13">
        <f t="shared" si="10"/>
        <v>0</v>
      </c>
      <c r="R13" s="214">
        <f t="shared" si="11"/>
        <v>242</v>
      </c>
      <c r="T13" s="421">
        <f>'Inputs &amp; Outputs'!$K$24</f>
        <v>0.05</v>
      </c>
      <c r="U13" s="215">
        <f t="shared" si="2"/>
        <v>285</v>
      </c>
      <c r="W13" s="130">
        <f t="shared" si="3"/>
        <v>68970</v>
      </c>
      <c r="X13" s="18">
        <f t="shared" si="12"/>
        <v>68970</v>
      </c>
      <c r="Y13" s="18">
        <f t="shared" si="4"/>
        <v>0</v>
      </c>
      <c r="Z13" s="18">
        <f t="shared" si="5"/>
        <v>0</v>
      </c>
      <c r="AA13" s="130">
        <f t="shared" si="13"/>
        <v>0</v>
      </c>
      <c r="AB13" s="213">
        <f t="shared" si="6"/>
        <v>68970</v>
      </c>
    </row>
    <row r="14" spans="2:28">
      <c r="B14" s="11" t="s">
        <v>46</v>
      </c>
      <c r="C14" s="28" t="str">
        <f>IF(Tables!G$41=1,"Peak","24 Hrs")</f>
        <v>Peak</v>
      </c>
      <c r="D14" s="28">
        <f>Tables!I$42</f>
        <v>11</v>
      </c>
      <c r="F14" s="28">
        <f>IF(Tables!$G$41=2,Tables!$I$43,0)</f>
        <v>0</v>
      </c>
      <c r="G14">
        <f t="shared" si="0"/>
        <v>11</v>
      </c>
      <c r="I14" s="21">
        <f>Tables!G66</f>
        <v>21</v>
      </c>
      <c r="J14" s="28">
        <f>IF(Tables!$G$41=2,Tables!H66,0)</f>
        <v>0</v>
      </c>
      <c r="K14" s="21">
        <f>Tables!I66</f>
        <v>30</v>
      </c>
      <c r="L14" s="21"/>
      <c r="M14" s="21">
        <f t="shared" si="7"/>
        <v>231</v>
      </c>
      <c r="N14" s="21">
        <f t="shared" si="8"/>
        <v>0</v>
      </c>
      <c r="O14" s="214">
        <f t="shared" si="9"/>
        <v>0</v>
      </c>
      <c r="P14" s="216">
        <f t="shared" si="1"/>
        <v>0</v>
      </c>
      <c r="Q14">
        <f t="shared" si="10"/>
        <v>0</v>
      </c>
      <c r="R14" s="214">
        <f t="shared" si="11"/>
        <v>231</v>
      </c>
      <c r="T14" s="421">
        <f>'Inputs &amp; Outputs'!$K$24</f>
        <v>0.05</v>
      </c>
      <c r="U14" s="215">
        <f t="shared" si="2"/>
        <v>285</v>
      </c>
      <c r="W14" s="130">
        <f t="shared" si="3"/>
        <v>65835</v>
      </c>
      <c r="X14" s="18">
        <f t="shared" si="12"/>
        <v>65835</v>
      </c>
      <c r="Y14" s="18">
        <f t="shared" si="4"/>
        <v>0</v>
      </c>
      <c r="Z14" s="18">
        <f t="shared" si="5"/>
        <v>0</v>
      </c>
      <c r="AA14" s="130">
        <f t="shared" si="13"/>
        <v>0</v>
      </c>
      <c r="AB14" s="213">
        <f t="shared" si="6"/>
        <v>65835</v>
      </c>
    </row>
    <row r="15" spans="2:28">
      <c r="B15" s="12" t="s">
        <v>47</v>
      </c>
      <c r="C15" s="28" t="str">
        <f>IF(Tables!G$41=1,"Peak","24 Hrs")</f>
        <v>Peak</v>
      </c>
      <c r="D15" s="28">
        <f>Tables!I$42</f>
        <v>11</v>
      </c>
      <c r="F15" s="28">
        <f>IF(Tables!$G$41=2,Tables!$I$43,0)</f>
        <v>0</v>
      </c>
      <c r="G15">
        <f t="shared" si="0"/>
        <v>11</v>
      </c>
      <c r="I15" s="21">
        <f>Tables!G67</f>
        <v>22</v>
      </c>
      <c r="J15" s="28">
        <f>IF(Tables!$G$41=2,Tables!H67,0)</f>
        <v>0</v>
      </c>
      <c r="K15" s="21">
        <f>Tables!I67</f>
        <v>31</v>
      </c>
      <c r="L15" s="21"/>
      <c r="M15" s="21">
        <f t="shared" si="7"/>
        <v>242</v>
      </c>
      <c r="N15" s="21">
        <f t="shared" si="8"/>
        <v>0</v>
      </c>
      <c r="O15" s="185">
        <f t="shared" si="9"/>
        <v>0</v>
      </c>
      <c r="P15" s="178">
        <f t="shared" si="1"/>
        <v>0</v>
      </c>
      <c r="Q15">
        <f t="shared" si="10"/>
        <v>0</v>
      </c>
      <c r="R15" s="214">
        <f t="shared" si="11"/>
        <v>242</v>
      </c>
      <c r="T15" s="421">
        <f>'Inputs &amp; Outputs'!$K$24</f>
        <v>0.05</v>
      </c>
      <c r="U15" s="215">
        <f t="shared" si="2"/>
        <v>285</v>
      </c>
      <c r="W15" s="130">
        <f t="shared" si="3"/>
        <v>68970</v>
      </c>
      <c r="X15" s="18">
        <f t="shared" si="12"/>
        <v>68970</v>
      </c>
      <c r="Y15" s="18">
        <f t="shared" si="4"/>
        <v>0</v>
      </c>
      <c r="Z15" s="18">
        <f t="shared" si="5"/>
        <v>0</v>
      </c>
      <c r="AA15" s="130">
        <f t="shared" si="13"/>
        <v>0</v>
      </c>
      <c r="AB15" s="213">
        <f t="shared" si="6"/>
        <v>68970</v>
      </c>
    </row>
    <row r="16" spans="2:28">
      <c r="N16" s="364" t="s">
        <v>384</v>
      </c>
      <c r="O16" s="364">
        <f>SUM(O4:O15)</f>
        <v>0</v>
      </c>
      <c r="P16" s="364">
        <f>SUM(P4:P15)</f>
        <v>0</v>
      </c>
      <c r="Q16" s="364"/>
      <c r="R16" s="364">
        <f>SUM(R4:R15)</f>
        <v>2838</v>
      </c>
      <c r="T16" s="18"/>
    </row>
    <row r="18" spans="1:27" ht="15">
      <c r="B18" s="3" t="s">
        <v>245</v>
      </c>
      <c r="C18" s="114"/>
      <c r="K18" s="15"/>
      <c r="T18" s="3" t="s">
        <v>237</v>
      </c>
    </row>
    <row r="19" spans="1:27">
      <c r="B19" s="8" t="s">
        <v>244</v>
      </c>
      <c r="I19" s="499" t="s">
        <v>367</v>
      </c>
      <c r="J19" s="503"/>
      <c r="K19" s="503"/>
      <c r="L19" s="500"/>
      <c r="N19" s="8" t="s">
        <v>343</v>
      </c>
      <c r="U19" s="8"/>
      <c r="V19" s="265" t="s">
        <v>332</v>
      </c>
    </row>
    <row r="20" spans="1:27">
      <c r="D20" s="76" t="s">
        <v>152</v>
      </c>
      <c r="E20" s="339" t="s">
        <v>151</v>
      </c>
      <c r="F20" s="76" t="s">
        <v>35</v>
      </c>
      <c r="G20" s="76" t="s">
        <v>54</v>
      </c>
      <c r="H20" s="76"/>
      <c r="I20" s="348" t="s">
        <v>152</v>
      </c>
      <c r="J20" s="76" t="s">
        <v>151</v>
      </c>
      <c r="K20" s="76" t="s">
        <v>35</v>
      </c>
      <c r="L20" s="349" t="s">
        <v>360</v>
      </c>
      <c r="N20" s="175" t="s">
        <v>152</v>
      </c>
      <c r="O20" s="76" t="s">
        <v>151</v>
      </c>
      <c r="P20" s="76" t="s">
        <v>35</v>
      </c>
      <c r="Q20" s="76" t="s">
        <v>54</v>
      </c>
      <c r="R20" s="76"/>
      <c r="S20" s="76"/>
      <c r="T20" s="17" t="s">
        <v>276</v>
      </c>
      <c r="V20" s="220" t="s">
        <v>331</v>
      </c>
      <c r="W20" s="17" t="s">
        <v>53</v>
      </c>
      <c r="X20" s="17" t="s">
        <v>138</v>
      </c>
      <c r="Y20" s="17" t="s">
        <v>139</v>
      </c>
      <c r="Z20" s="17" t="s">
        <v>143</v>
      </c>
      <c r="AA20" s="30" t="s">
        <v>144</v>
      </c>
    </row>
    <row r="21" spans="1:27">
      <c r="A21" s="34" t="s">
        <v>55</v>
      </c>
      <c r="B21" s="11" t="s">
        <v>37</v>
      </c>
      <c r="D21" s="113">
        <f>'Inputs &amp; Outputs'!H11</f>
        <v>85000</v>
      </c>
      <c r="F21" s="113">
        <f>'Inputs &amp; Outputs'!I11</f>
        <v>67000</v>
      </c>
      <c r="G21">
        <f t="shared" ref="G21:G32" si="14">D21+F21</f>
        <v>152000</v>
      </c>
      <c r="H21" s="323"/>
      <c r="I21" s="350">
        <f>IF('Inputs &amp; Outputs'!$I11="",'Inputs &amp; Outputs'!H11*kWh_on_Peak_Percent,'Inputs &amp; Outputs'!H11)</f>
        <v>85000</v>
      </c>
      <c r="J21" s="322" t="str">
        <f>IF('Inputs &amp; Outputs'!I11="","test","")</f>
        <v/>
      </c>
      <c r="K21" s="322">
        <f>IF('Inputs &amp; Outputs'!$I11="",'Inputs &amp; Outputs'!H11*(1-kWh_on_Peak_Percent),'Inputs &amp; Outputs'!I11)</f>
        <v>67000</v>
      </c>
      <c r="L21" s="351">
        <f>I21+K21</f>
        <v>152000</v>
      </c>
      <c r="N21" s="221">
        <f>MAX(0,I21-W4)</f>
        <v>16030</v>
      </c>
      <c r="O21" s="18">
        <f>MAX(0,E21-W4)</f>
        <v>0</v>
      </c>
      <c r="P21" s="221">
        <f>MAX(0,K21-AA4)</f>
        <v>67000</v>
      </c>
      <c r="Q21" s="125">
        <f>MAX(0,N21+P21)</f>
        <v>83030</v>
      </c>
      <c r="R21" s="125"/>
      <c r="S21" s="125"/>
      <c r="T21" s="18"/>
      <c r="V21" s="14">
        <f>M4*Tables!$M$57</f>
        <v>242</v>
      </c>
      <c r="W21" s="18">
        <f>MIN($T21*V21,N21)</f>
        <v>0</v>
      </c>
      <c r="X21" s="108"/>
      <c r="Y21" s="108"/>
      <c r="Z21" s="108">
        <f t="shared" ref="Z21:Z32" si="15">MIN($T21*P4,P21)</f>
        <v>0</v>
      </c>
      <c r="AA21" s="18">
        <f>W21+Z21</f>
        <v>0</v>
      </c>
    </row>
    <row r="22" spans="1:27">
      <c r="A22" s="34" t="s">
        <v>55</v>
      </c>
      <c r="B22" s="12" t="s">
        <v>38</v>
      </c>
      <c r="D22" s="113">
        <f>'Inputs &amp; Outputs'!H12</f>
        <v>85000</v>
      </c>
      <c r="F22" s="113">
        <f>'Inputs &amp; Outputs'!I12</f>
        <v>67000</v>
      </c>
      <c r="G22">
        <f t="shared" si="14"/>
        <v>152000</v>
      </c>
      <c r="H22" s="323"/>
      <c r="I22" s="350">
        <f>IF('Inputs &amp; Outputs'!$I12="",'Inputs &amp; Outputs'!H12*kWh_on_Peak_Percent,'Inputs &amp; Outputs'!H12)</f>
        <v>85000</v>
      </c>
      <c r="J22" s="322" t="str">
        <f>IF('Inputs &amp; Outputs'!I12="","test","")</f>
        <v/>
      </c>
      <c r="K22" s="322">
        <f>IF('Inputs &amp; Outputs'!$I12="",'Inputs &amp; Outputs'!H12*(1-kWh_on_Peak_Percent),'Inputs &amp; Outputs'!I12)</f>
        <v>67000</v>
      </c>
      <c r="L22" s="351">
        <f t="shared" ref="L22:L31" si="16">I22+K22</f>
        <v>152000</v>
      </c>
      <c r="N22" s="221">
        <f t="shared" ref="N22:N32" si="17">MAX(0,I22-W5)</f>
        <v>22300</v>
      </c>
      <c r="O22" s="18">
        <f>MAX(0,E22-W5)</f>
        <v>0</v>
      </c>
      <c r="P22" s="221">
        <f t="shared" ref="P22:P32" si="18">MAX(0,K22-AA5)</f>
        <v>67000</v>
      </c>
      <c r="Q22" s="125">
        <f t="shared" ref="Q22:Q32" si="19">MAX(0,N22+P22)</f>
        <v>89300</v>
      </c>
      <c r="R22" s="125"/>
      <c r="S22" s="125"/>
      <c r="T22" s="18"/>
      <c r="V22" s="14">
        <f>M5*Tables!$M$57</f>
        <v>220</v>
      </c>
      <c r="W22" s="18">
        <f t="shared" ref="W22:W32" si="20">MIN($T22*V22,N22)</f>
        <v>0</v>
      </c>
      <c r="X22" s="108"/>
      <c r="Y22" s="108"/>
      <c r="Z22" s="108">
        <f t="shared" si="15"/>
        <v>0</v>
      </c>
      <c r="AA22" s="18">
        <f t="shared" ref="AA22:AA32" si="21">W22+Z22</f>
        <v>0</v>
      </c>
    </row>
    <row r="23" spans="1:27">
      <c r="A23" s="34" t="s">
        <v>55</v>
      </c>
      <c r="B23" s="11" t="s">
        <v>39</v>
      </c>
      <c r="D23" s="113">
        <f>'Inputs &amp; Outputs'!H13</f>
        <v>85000</v>
      </c>
      <c r="F23" s="113">
        <f>'Inputs &amp; Outputs'!I13</f>
        <v>67000</v>
      </c>
      <c r="G23">
        <f t="shared" si="14"/>
        <v>152000</v>
      </c>
      <c r="H23" s="323"/>
      <c r="I23" s="350">
        <f>IF('Inputs &amp; Outputs'!$I13="",'Inputs &amp; Outputs'!H13*kWh_on_Peak_Percent,'Inputs &amp; Outputs'!H13)</f>
        <v>85000</v>
      </c>
      <c r="J23" s="322" t="str">
        <f>IF('Inputs &amp; Outputs'!I13="","test","")</f>
        <v/>
      </c>
      <c r="K23" s="322">
        <f>IF('Inputs &amp; Outputs'!$I13="",'Inputs &amp; Outputs'!H13*(1-kWh_on_Peak_Percent),'Inputs &amp; Outputs'!I13)</f>
        <v>67000</v>
      </c>
      <c r="L23" s="351">
        <f t="shared" si="16"/>
        <v>152000</v>
      </c>
      <c r="N23" s="221">
        <f t="shared" si="17"/>
        <v>16030</v>
      </c>
      <c r="O23" s="18">
        <f t="shared" ref="O23:O32" si="22">MAX(0,E23-W6)</f>
        <v>0</v>
      </c>
      <c r="P23" s="221">
        <f t="shared" si="18"/>
        <v>67000</v>
      </c>
      <c r="Q23" s="125">
        <f t="shared" si="19"/>
        <v>83030</v>
      </c>
      <c r="R23" s="125"/>
      <c r="S23" s="125"/>
      <c r="T23" s="18"/>
      <c r="V23" s="14">
        <f>M6*Tables!$M$57</f>
        <v>242</v>
      </c>
      <c r="W23" s="18">
        <f t="shared" si="20"/>
        <v>0</v>
      </c>
      <c r="X23" s="108"/>
      <c r="Y23" s="108"/>
      <c r="Z23" s="108">
        <f t="shared" si="15"/>
        <v>0</v>
      </c>
      <c r="AA23" s="18">
        <f t="shared" si="21"/>
        <v>0</v>
      </c>
    </row>
    <row r="24" spans="1:27">
      <c r="A24" s="34" t="s">
        <v>55</v>
      </c>
      <c r="B24" s="12" t="s">
        <v>40</v>
      </c>
      <c r="D24" s="113">
        <f>'Inputs &amp; Outputs'!H14</f>
        <v>144000</v>
      </c>
      <c r="F24" s="113">
        <f>'Inputs &amp; Outputs'!I14</f>
        <v>50000</v>
      </c>
      <c r="G24">
        <f t="shared" si="14"/>
        <v>194000</v>
      </c>
      <c r="H24" s="323"/>
      <c r="I24" s="350">
        <f>IF('Inputs &amp; Outputs'!$I14="",'Inputs &amp; Outputs'!H14*kWh_on_Peak_Percent,'Inputs &amp; Outputs'!H14)</f>
        <v>144000</v>
      </c>
      <c r="J24" s="322" t="str">
        <f>IF('Inputs &amp; Outputs'!I14="","test","")</f>
        <v/>
      </c>
      <c r="K24" s="322">
        <f>IF('Inputs &amp; Outputs'!$I14="",'Inputs &amp; Outputs'!H14*(1-kWh_on_Peak_Percent),'Inputs &amp; Outputs'!I14)</f>
        <v>50000</v>
      </c>
      <c r="L24" s="351">
        <f t="shared" si="16"/>
        <v>194000</v>
      </c>
      <c r="N24" s="221">
        <f t="shared" si="17"/>
        <v>78165</v>
      </c>
      <c r="O24" s="18">
        <f t="shared" si="22"/>
        <v>0</v>
      </c>
      <c r="P24" s="221">
        <f>MAX(0,K24-AA7)</f>
        <v>50000</v>
      </c>
      <c r="Q24" s="125">
        <f t="shared" si="19"/>
        <v>128165</v>
      </c>
      <c r="R24" s="125"/>
      <c r="S24" s="125"/>
      <c r="T24" s="18"/>
      <c r="V24" s="14">
        <f>M7*Tables!$M$57</f>
        <v>231</v>
      </c>
      <c r="W24" s="18">
        <f t="shared" si="20"/>
        <v>0</v>
      </c>
      <c r="X24" s="108"/>
      <c r="Y24" s="108"/>
      <c r="Z24" s="108">
        <f t="shared" si="15"/>
        <v>0</v>
      </c>
      <c r="AA24" s="18">
        <f t="shared" si="21"/>
        <v>0</v>
      </c>
    </row>
    <row r="25" spans="1:27">
      <c r="A25" s="34" t="s">
        <v>55</v>
      </c>
      <c r="B25" s="11" t="s">
        <v>7</v>
      </c>
      <c r="D25" s="113">
        <f>'Inputs &amp; Outputs'!H15</f>
        <v>108000</v>
      </c>
      <c r="F25" s="113">
        <f>'Inputs &amp; Outputs'!I15</f>
        <v>50000</v>
      </c>
      <c r="G25">
        <f>D25+F25</f>
        <v>158000</v>
      </c>
      <c r="H25" s="323"/>
      <c r="I25" s="350">
        <f>IF('Inputs &amp; Outputs'!$I15="",'Inputs &amp; Outputs'!H15*kWh_on_Peak_Percent,'Inputs &amp; Outputs'!H15)</f>
        <v>108000</v>
      </c>
      <c r="J25" s="322" t="str">
        <f>IF('Inputs &amp; Outputs'!I15="","test","")</f>
        <v/>
      </c>
      <c r="K25" s="322">
        <f>IF('Inputs &amp; Outputs'!$I15="",'Inputs &amp; Outputs'!H15*(1-kWh_on_Peak_Percent),'Inputs &amp; Outputs'!I15)</f>
        <v>50000</v>
      </c>
      <c r="L25" s="351">
        <f t="shared" si="16"/>
        <v>158000</v>
      </c>
      <c r="N25" s="221">
        <f t="shared" si="17"/>
        <v>39030</v>
      </c>
      <c r="O25" s="18">
        <f t="shared" si="22"/>
        <v>0</v>
      </c>
      <c r="P25" s="221">
        <f t="shared" si="18"/>
        <v>50000</v>
      </c>
      <c r="Q25" s="125">
        <f t="shared" si="19"/>
        <v>89030</v>
      </c>
      <c r="R25" s="125"/>
      <c r="T25" s="18">
        <f>Chiller_Offset*Nameplate</f>
        <v>30</v>
      </c>
      <c r="V25" s="14">
        <f>M8*Tables!$M$57</f>
        <v>242</v>
      </c>
      <c r="W25" s="18">
        <f t="shared" si="20"/>
        <v>7260</v>
      </c>
      <c r="X25" s="108"/>
      <c r="Y25" s="108"/>
      <c r="Z25" s="108">
        <f t="shared" si="15"/>
        <v>0</v>
      </c>
      <c r="AA25" s="18">
        <f>W25+Z25</f>
        <v>7260</v>
      </c>
    </row>
    <row r="26" spans="1:27">
      <c r="A26" s="34" t="s">
        <v>56</v>
      </c>
      <c r="B26" s="12" t="s">
        <v>41</v>
      </c>
      <c r="D26" s="113">
        <f>'Inputs &amp; Outputs'!H16</f>
        <v>108000</v>
      </c>
      <c r="F26" s="113">
        <f>'Inputs &amp; Outputs'!I16</f>
        <v>50000</v>
      </c>
      <c r="G26">
        <f t="shared" si="14"/>
        <v>158000</v>
      </c>
      <c r="H26" s="323"/>
      <c r="I26" s="350">
        <f>IF('Inputs &amp; Outputs'!$I16="",'Inputs &amp; Outputs'!H16*kWh_on_Peak_Percent,'Inputs &amp; Outputs'!H16)</f>
        <v>108000</v>
      </c>
      <c r="J26" s="322" t="str">
        <f>IF('Inputs &amp; Outputs'!I16="","test","")</f>
        <v/>
      </c>
      <c r="K26" s="322">
        <f>IF('Inputs &amp; Outputs'!$I16="",'Inputs &amp; Outputs'!H16*(1-kWh_on_Peak_Percent),'Inputs &amp; Outputs'!I16)</f>
        <v>50000</v>
      </c>
      <c r="L26" s="351">
        <f t="shared" si="16"/>
        <v>158000</v>
      </c>
      <c r="N26" s="221">
        <f t="shared" si="17"/>
        <v>42165</v>
      </c>
      <c r="O26" s="18">
        <f t="shared" si="22"/>
        <v>0</v>
      </c>
      <c r="P26" s="221">
        <f t="shared" si="18"/>
        <v>50000</v>
      </c>
      <c r="Q26" s="125">
        <f t="shared" si="19"/>
        <v>92165</v>
      </c>
      <c r="R26" s="125"/>
      <c r="S26" s="125"/>
      <c r="T26" s="18">
        <f>Chiller_Offset*Nameplate</f>
        <v>30</v>
      </c>
      <c r="V26" s="14">
        <f>M9*Tables!$M$57</f>
        <v>231</v>
      </c>
      <c r="W26" s="18">
        <f t="shared" si="20"/>
        <v>6930</v>
      </c>
      <c r="X26" s="108"/>
      <c r="Y26" s="108"/>
      <c r="Z26" s="108">
        <f t="shared" si="15"/>
        <v>0</v>
      </c>
      <c r="AA26" s="18">
        <f t="shared" si="21"/>
        <v>6930</v>
      </c>
    </row>
    <row r="27" spans="1:27">
      <c r="A27" s="34" t="s">
        <v>56</v>
      </c>
      <c r="B27" s="11" t="s">
        <v>42</v>
      </c>
      <c r="D27" s="113">
        <f>'Inputs &amp; Outputs'!H17</f>
        <v>108000</v>
      </c>
      <c r="F27" s="113">
        <f>'Inputs &amp; Outputs'!I17</f>
        <v>50000</v>
      </c>
      <c r="G27">
        <f t="shared" si="14"/>
        <v>158000</v>
      </c>
      <c r="H27" s="323"/>
      <c r="I27" s="350">
        <f>IF('Inputs &amp; Outputs'!$I17="",'Inputs &amp; Outputs'!H17*kWh_on_Peak_Percent,'Inputs &amp; Outputs'!H17)</f>
        <v>108000</v>
      </c>
      <c r="J27" s="322" t="str">
        <f>IF('Inputs &amp; Outputs'!I17="","test","")</f>
        <v/>
      </c>
      <c r="K27" s="322">
        <f>IF('Inputs &amp; Outputs'!$I17="",'Inputs &amp; Outputs'!H17*(1-kWh_on_Peak_Percent),'Inputs &amp; Outputs'!I17)</f>
        <v>50000</v>
      </c>
      <c r="L27" s="351">
        <f t="shared" si="16"/>
        <v>158000</v>
      </c>
      <c r="N27" s="221">
        <f t="shared" si="17"/>
        <v>39030</v>
      </c>
      <c r="O27" s="18">
        <f t="shared" si="22"/>
        <v>0</v>
      </c>
      <c r="P27" s="221">
        <f t="shared" si="18"/>
        <v>50000</v>
      </c>
      <c r="Q27" s="125">
        <f t="shared" si="19"/>
        <v>89030</v>
      </c>
      <c r="R27" s="125"/>
      <c r="S27" s="125"/>
      <c r="T27" s="18">
        <f>Chiller_Offset*Nameplate</f>
        <v>30</v>
      </c>
      <c r="V27" s="14">
        <f>M10*Tables!$M$57</f>
        <v>242</v>
      </c>
      <c r="W27" s="18">
        <f t="shared" si="20"/>
        <v>7260</v>
      </c>
      <c r="X27" s="108"/>
      <c r="Y27" s="108"/>
      <c r="Z27" s="108">
        <f t="shared" si="15"/>
        <v>0</v>
      </c>
      <c r="AA27" s="18">
        <f t="shared" si="21"/>
        <v>7260</v>
      </c>
    </row>
    <row r="28" spans="1:27">
      <c r="A28" s="34" t="s">
        <v>56</v>
      </c>
      <c r="B28" s="12" t="s">
        <v>43</v>
      </c>
      <c r="D28" s="113">
        <f>'Inputs &amp; Outputs'!H18</f>
        <v>108000</v>
      </c>
      <c r="F28" s="113">
        <f>'Inputs &amp; Outputs'!I18</f>
        <v>50000</v>
      </c>
      <c r="G28">
        <f t="shared" si="14"/>
        <v>158000</v>
      </c>
      <c r="H28" s="323"/>
      <c r="I28" s="350">
        <f>IF('Inputs &amp; Outputs'!$I18="",'Inputs &amp; Outputs'!H18*kWh_on_Peak_Percent,'Inputs &amp; Outputs'!H18)</f>
        <v>108000</v>
      </c>
      <c r="J28" s="322" t="str">
        <f>IF('Inputs &amp; Outputs'!I18="","test","")</f>
        <v/>
      </c>
      <c r="K28" s="322">
        <f>IF('Inputs &amp; Outputs'!$I18="",'Inputs &amp; Outputs'!H18*(1-kWh_on_Peak_Percent),'Inputs &amp; Outputs'!I18)</f>
        <v>50000</v>
      </c>
      <c r="L28" s="351">
        <f t="shared" si="16"/>
        <v>158000</v>
      </c>
      <c r="N28" s="221">
        <f t="shared" si="17"/>
        <v>39030</v>
      </c>
      <c r="O28" s="18">
        <f t="shared" si="22"/>
        <v>0</v>
      </c>
      <c r="P28" s="221">
        <f t="shared" si="18"/>
        <v>50000</v>
      </c>
      <c r="Q28" s="125">
        <f t="shared" si="19"/>
        <v>89030</v>
      </c>
      <c r="R28" s="125"/>
      <c r="S28" s="125"/>
      <c r="T28" s="18">
        <f>Chiller_Offset*Nameplate</f>
        <v>30</v>
      </c>
      <c r="V28" s="14">
        <f>M11*Tables!$M$57</f>
        <v>242</v>
      </c>
      <c r="W28" s="18">
        <f t="shared" si="20"/>
        <v>7260</v>
      </c>
      <c r="X28" s="108"/>
      <c r="Y28" s="108"/>
      <c r="Z28" s="108">
        <f t="shared" si="15"/>
        <v>0</v>
      </c>
      <c r="AA28" s="18">
        <f t="shared" si="21"/>
        <v>7260</v>
      </c>
    </row>
    <row r="29" spans="1:27">
      <c r="A29" s="34" t="s">
        <v>56</v>
      </c>
      <c r="B29" s="11" t="s">
        <v>44</v>
      </c>
      <c r="D29" s="113">
        <f>'Inputs &amp; Outputs'!H19</f>
        <v>108000</v>
      </c>
      <c r="F29" s="113">
        <f>'Inputs &amp; Outputs'!I19</f>
        <v>50000</v>
      </c>
      <c r="G29">
        <f t="shared" si="14"/>
        <v>158000</v>
      </c>
      <c r="H29" s="323"/>
      <c r="I29" s="350">
        <f>IF('Inputs &amp; Outputs'!$I19="",'Inputs &amp; Outputs'!H19*kWh_on_Peak_Percent,'Inputs &amp; Outputs'!H19)</f>
        <v>108000</v>
      </c>
      <c r="J29" s="322" t="str">
        <f>IF('Inputs &amp; Outputs'!I19="","test","")</f>
        <v/>
      </c>
      <c r="K29" s="322">
        <f>IF('Inputs &amp; Outputs'!$I19="",'Inputs &amp; Outputs'!H19*(1-kWh_on_Peak_Percent),'Inputs &amp; Outputs'!I19)</f>
        <v>50000</v>
      </c>
      <c r="L29" s="351">
        <f t="shared" si="16"/>
        <v>158000</v>
      </c>
      <c r="N29" s="221">
        <f t="shared" si="17"/>
        <v>42165</v>
      </c>
      <c r="O29" s="18">
        <f t="shared" si="22"/>
        <v>0</v>
      </c>
      <c r="P29" s="221">
        <f t="shared" si="18"/>
        <v>50000</v>
      </c>
      <c r="Q29" s="125">
        <f t="shared" si="19"/>
        <v>92165</v>
      </c>
      <c r="R29" s="125"/>
      <c r="S29" s="125"/>
      <c r="T29" s="18">
        <f>Chiller_Offset*Nameplate</f>
        <v>30</v>
      </c>
      <c r="V29" s="14">
        <f>M12*Tables!$M$57</f>
        <v>231</v>
      </c>
      <c r="W29" s="18">
        <f t="shared" si="20"/>
        <v>6930</v>
      </c>
      <c r="X29" s="108"/>
      <c r="Y29" s="108"/>
      <c r="Z29" s="108">
        <f t="shared" si="15"/>
        <v>0</v>
      </c>
      <c r="AA29" s="18">
        <f t="shared" si="21"/>
        <v>6930</v>
      </c>
    </row>
    <row r="30" spans="1:27">
      <c r="A30" s="34" t="s">
        <v>55</v>
      </c>
      <c r="B30" s="12" t="s">
        <v>45</v>
      </c>
      <c r="D30" s="113">
        <f>'Inputs &amp; Outputs'!H20</f>
        <v>85000</v>
      </c>
      <c r="F30" s="113">
        <f>'Inputs &amp; Outputs'!I20</f>
        <v>48000</v>
      </c>
      <c r="G30">
        <f t="shared" si="14"/>
        <v>133000</v>
      </c>
      <c r="H30" s="323"/>
      <c r="I30" s="350">
        <f>IF('Inputs &amp; Outputs'!$I20="",'Inputs &amp; Outputs'!H20*kWh_on_Peak_Percent,'Inputs &amp; Outputs'!H20)</f>
        <v>85000</v>
      </c>
      <c r="J30" s="322" t="str">
        <f>IF('Inputs &amp; Outputs'!I20="","test","")</f>
        <v/>
      </c>
      <c r="K30" s="322">
        <f>IF('Inputs &amp; Outputs'!$I20="",'Inputs &amp; Outputs'!H20*(1-kWh_on_Peak_Percent),'Inputs &amp; Outputs'!I20)</f>
        <v>48000</v>
      </c>
      <c r="L30" s="351">
        <f t="shared" si="16"/>
        <v>133000</v>
      </c>
      <c r="N30" s="221">
        <f t="shared" si="17"/>
        <v>16030</v>
      </c>
      <c r="O30" s="18">
        <f t="shared" si="22"/>
        <v>0</v>
      </c>
      <c r="P30" s="221">
        <f t="shared" si="18"/>
        <v>48000</v>
      </c>
      <c r="Q30" s="125">
        <f t="shared" si="19"/>
        <v>64030</v>
      </c>
      <c r="R30" s="125"/>
      <c r="S30" s="125"/>
      <c r="T30" s="18"/>
      <c r="V30" s="14">
        <f>M13*Tables!$M$57</f>
        <v>242</v>
      </c>
      <c r="W30" s="18">
        <f t="shared" si="20"/>
        <v>0</v>
      </c>
      <c r="X30" s="108"/>
      <c r="Y30" s="108"/>
      <c r="Z30" s="108">
        <f t="shared" si="15"/>
        <v>0</v>
      </c>
      <c r="AA30" s="18">
        <f t="shared" si="21"/>
        <v>0</v>
      </c>
    </row>
    <row r="31" spans="1:27">
      <c r="A31" s="34" t="s">
        <v>55</v>
      </c>
      <c r="B31" s="11" t="s">
        <v>46</v>
      </c>
      <c r="D31" s="113">
        <f>'Inputs &amp; Outputs'!H21</f>
        <v>85000</v>
      </c>
      <c r="F31" s="113">
        <f>'Inputs &amp; Outputs'!I21</f>
        <v>67000</v>
      </c>
      <c r="G31">
        <f t="shared" si="14"/>
        <v>152000</v>
      </c>
      <c r="H31" s="323"/>
      <c r="I31" s="350">
        <f>IF('Inputs &amp; Outputs'!$I21="",'Inputs &amp; Outputs'!H21*kWh_on_Peak_Percent,'Inputs &amp; Outputs'!H21)</f>
        <v>85000</v>
      </c>
      <c r="J31" s="322" t="str">
        <f>IF('Inputs &amp; Outputs'!I21="","test","")</f>
        <v/>
      </c>
      <c r="K31" s="322">
        <f>IF('Inputs &amp; Outputs'!$I21="",'Inputs &amp; Outputs'!H21*(1-kWh_on_Peak_Percent),'Inputs &amp; Outputs'!I21)</f>
        <v>67000</v>
      </c>
      <c r="L31" s="351">
        <f t="shared" si="16"/>
        <v>152000</v>
      </c>
      <c r="N31" s="221">
        <f t="shared" si="17"/>
        <v>19165</v>
      </c>
      <c r="O31" s="18">
        <f t="shared" si="22"/>
        <v>0</v>
      </c>
      <c r="P31" s="221">
        <f t="shared" si="18"/>
        <v>67000</v>
      </c>
      <c r="Q31" s="125">
        <f t="shared" si="19"/>
        <v>86165</v>
      </c>
      <c r="R31" s="125"/>
      <c r="S31" s="125"/>
      <c r="T31" s="18"/>
      <c r="V31" s="14">
        <f>M14*Tables!$M$57</f>
        <v>231</v>
      </c>
      <c r="W31" s="18">
        <f t="shared" si="20"/>
        <v>0</v>
      </c>
      <c r="X31" s="108"/>
      <c r="Y31" s="108"/>
      <c r="Z31" s="108">
        <f t="shared" si="15"/>
        <v>0</v>
      </c>
      <c r="AA31" s="18">
        <f t="shared" si="21"/>
        <v>0</v>
      </c>
    </row>
    <row r="32" spans="1:27">
      <c r="A32" s="34" t="s">
        <v>55</v>
      </c>
      <c r="B32" s="12" t="s">
        <v>47</v>
      </c>
      <c r="D32" s="113">
        <f>'Inputs &amp; Outputs'!H22</f>
        <v>85000</v>
      </c>
      <c r="F32" s="113">
        <f>'Inputs &amp; Outputs'!I22</f>
        <v>67000</v>
      </c>
      <c r="G32">
        <f t="shared" si="14"/>
        <v>152000</v>
      </c>
      <c r="H32" s="323"/>
      <c r="I32" s="352">
        <f>IF('Inputs &amp; Outputs'!$I22="",'Inputs &amp; Outputs'!H22*kWh_on_Peak_Percent,'Inputs &amp; Outputs'!H22)</f>
        <v>85000</v>
      </c>
      <c r="J32" s="353" t="str">
        <f>IF('Inputs &amp; Outputs'!I22="","test","")</f>
        <v/>
      </c>
      <c r="K32" s="353">
        <f>IF('Inputs &amp; Outputs'!$I22="",'Inputs &amp; Outputs'!H22*(1-kWh_on_Peak_Percent),'Inputs &amp; Outputs'!I22)</f>
        <v>67000</v>
      </c>
      <c r="L32" s="354">
        <f>I32+K32</f>
        <v>152000</v>
      </c>
      <c r="N32" s="221">
        <f t="shared" si="17"/>
        <v>16030</v>
      </c>
      <c r="O32" s="18">
        <f t="shared" si="22"/>
        <v>0</v>
      </c>
      <c r="P32" s="221">
        <f t="shared" si="18"/>
        <v>67000</v>
      </c>
      <c r="Q32" s="125">
        <f t="shared" si="19"/>
        <v>83030</v>
      </c>
      <c r="R32" s="125"/>
      <c r="S32" s="125"/>
      <c r="T32" s="18"/>
      <c r="V32" s="14">
        <f>M15*Tables!$M$57</f>
        <v>242</v>
      </c>
      <c r="W32" s="18">
        <f t="shared" si="20"/>
        <v>0</v>
      </c>
      <c r="X32" s="108"/>
      <c r="Y32" s="108"/>
      <c r="Z32" s="108">
        <f t="shared" si="15"/>
        <v>0</v>
      </c>
      <c r="AA32" s="18">
        <f t="shared" si="21"/>
        <v>0</v>
      </c>
    </row>
    <row r="33" spans="2:27">
      <c r="I33" s="187">
        <f>Tables!M66</f>
        <v>0.55000000000000004</v>
      </c>
      <c r="J33" s="187" t="s">
        <v>366</v>
      </c>
      <c r="Y33" s="5"/>
      <c r="Z33" s="225" t="s">
        <v>330</v>
      </c>
      <c r="AA33" s="264">
        <f>SUM(AA21:AA32)</f>
        <v>35640</v>
      </c>
    </row>
    <row r="35" spans="2:27" ht="15">
      <c r="B35" s="3" t="s">
        <v>246</v>
      </c>
    </row>
    <row r="36" spans="2:27">
      <c r="C36" s="39" t="s">
        <v>134</v>
      </c>
      <c r="F36" s="499" t="s">
        <v>370</v>
      </c>
      <c r="G36" s="500"/>
      <c r="I36" s="39" t="s">
        <v>155</v>
      </c>
      <c r="K36" s="34"/>
      <c r="L36" s="34"/>
      <c r="M36" s="34"/>
      <c r="N36" s="39" t="s">
        <v>156</v>
      </c>
      <c r="V36" s="39" t="s">
        <v>344</v>
      </c>
      <c r="X36" s="34"/>
      <c r="Y36" s="34"/>
    </row>
    <row r="37" spans="2:27">
      <c r="D37" s="30" t="s">
        <v>53</v>
      </c>
      <c r="E37" s="30" t="s">
        <v>35</v>
      </c>
      <c r="F37" s="342" t="s">
        <v>53</v>
      </c>
      <c r="G37" s="343" t="s">
        <v>35</v>
      </c>
      <c r="I37" s="76" t="s">
        <v>152</v>
      </c>
      <c r="J37" s="76" t="s">
        <v>151</v>
      </c>
      <c r="K37" s="76" t="s">
        <v>35</v>
      </c>
      <c r="L37" s="76" t="s">
        <v>54</v>
      </c>
      <c r="M37" s="32"/>
      <c r="N37" s="76" t="s">
        <v>152</v>
      </c>
      <c r="O37" s="76" t="s">
        <v>151</v>
      </c>
      <c r="P37" s="76" t="s">
        <v>35</v>
      </c>
      <c r="Q37" s="76" t="s">
        <v>54</v>
      </c>
      <c r="R37" s="76"/>
      <c r="S37" s="76"/>
      <c r="T37" s="76"/>
      <c r="U37" s="76"/>
      <c r="W37" s="76" t="s">
        <v>152</v>
      </c>
      <c r="X37" s="76" t="s">
        <v>151</v>
      </c>
      <c r="Y37" s="76"/>
      <c r="Z37" s="76" t="s">
        <v>35</v>
      </c>
      <c r="AA37" s="76" t="s">
        <v>54</v>
      </c>
    </row>
    <row r="38" spans="2:27">
      <c r="B38" s="31" t="s">
        <v>37</v>
      </c>
      <c r="C38" s="31"/>
      <c r="D38" s="34">
        <f>'Inputs &amp; Outputs'!J11</f>
        <v>0.12</v>
      </c>
      <c r="E38" s="34">
        <f>'Inputs &amp; Outputs'!K11</f>
        <v>0.08</v>
      </c>
      <c r="F38" s="344">
        <f>IF('Inputs &amp; Outputs'!K11="",D38*Price_Incr,D38)</f>
        <v>0.12</v>
      </c>
      <c r="G38" s="345">
        <f>IF('Inputs &amp; Outputs'!$K11="",D38*Price_Decr,E38)</f>
        <v>0.08</v>
      </c>
      <c r="I38" s="129">
        <f>I21*$F38</f>
        <v>10200</v>
      </c>
      <c r="J38" s="19"/>
      <c r="K38">
        <f>K21*$G38</f>
        <v>5360</v>
      </c>
      <c r="M38" s="34"/>
      <c r="N38" s="41">
        <f>N21*F38</f>
        <v>1923.6</v>
      </c>
      <c r="O38" s="34"/>
      <c r="P38" s="41">
        <f>P21*G38</f>
        <v>5360</v>
      </c>
      <c r="Q38" s="34"/>
      <c r="R38" s="34"/>
      <c r="S38" s="34"/>
      <c r="T38" s="34"/>
      <c r="U38" s="34"/>
      <c r="W38" s="129">
        <f>F38*(W21)</f>
        <v>0</v>
      </c>
      <c r="X38" s="129"/>
      <c r="Y38" s="129"/>
      <c r="Z38" s="129">
        <f>G38*(Z21)</f>
        <v>0</v>
      </c>
    </row>
    <row r="39" spans="2:27">
      <c r="B39" s="29" t="s">
        <v>38</v>
      </c>
      <c r="C39" s="29"/>
      <c r="D39" s="34">
        <f>'Inputs &amp; Outputs'!J12</f>
        <v>0.12</v>
      </c>
      <c r="E39" s="34">
        <f>'Inputs &amp; Outputs'!K12</f>
        <v>0.08</v>
      </c>
      <c r="F39" s="344">
        <f>IF('Inputs &amp; Outputs'!K12="",D39*Price_Incr,D39)</f>
        <v>0.12</v>
      </c>
      <c r="G39" s="345">
        <f>IF('Inputs &amp; Outputs'!$K12="",D39*Price_Decr,E39)</f>
        <v>0.08</v>
      </c>
      <c r="I39" s="129">
        <f t="shared" ref="I39:I49" si="23">I22*$F39</f>
        <v>10200</v>
      </c>
      <c r="J39" s="19"/>
      <c r="K39">
        <f t="shared" ref="K39:K49" si="24">K22*$G39</f>
        <v>5360</v>
      </c>
      <c r="M39" s="34"/>
      <c r="N39" s="41">
        <f t="shared" ref="N39:N49" si="25">N22*F39</f>
        <v>2676</v>
      </c>
      <c r="O39" s="34"/>
      <c r="P39" s="41">
        <f t="shared" ref="P39:P49" si="26">P22*G39</f>
        <v>5360</v>
      </c>
      <c r="W39" s="129">
        <f t="shared" ref="W39:W49" si="27">F39*(W22)</f>
        <v>0</v>
      </c>
      <c r="X39" s="129"/>
      <c r="Y39" s="129"/>
      <c r="Z39" s="129">
        <f t="shared" ref="Z39:Z49" si="28">G39*(Z22)</f>
        <v>0</v>
      </c>
    </row>
    <row r="40" spans="2:27">
      <c r="B40" s="31" t="s">
        <v>39</v>
      </c>
      <c r="C40" s="31"/>
      <c r="D40" s="34">
        <f>'Inputs &amp; Outputs'!J13</f>
        <v>0.11</v>
      </c>
      <c r="E40" s="34">
        <f>'Inputs &amp; Outputs'!K13</f>
        <v>0.09</v>
      </c>
      <c r="F40" s="344">
        <f>IF('Inputs &amp; Outputs'!K13="",D40*Price_Incr,D40)</f>
        <v>0.11</v>
      </c>
      <c r="G40" s="345">
        <f>IF('Inputs &amp; Outputs'!$K13="",D40*Price_Decr,E40)</f>
        <v>0.09</v>
      </c>
      <c r="I40" s="129">
        <f t="shared" si="23"/>
        <v>9350</v>
      </c>
      <c r="J40" s="19"/>
      <c r="K40">
        <f t="shared" si="24"/>
        <v>6030</v>
      </c>
      <c r="M40" s="34"/>
      <c r="N40" s="41">
        <f t="shared" si="25"/>
        <v>1763.3</v>
      </c>
      <c r="O40" s="34"/>
      <c r="P40" s="41">
        <f t="shared" si="26"/>
        <v>6030</v>
      </c>
      <c r="W40" s="129">
        <f t="shared" si="27"/>
        <v>0</v>
      </c>
      <c r="X40" s="19"/>
      <c r="Y40" s="19"/>
      <c r="Z40" s="129">
        <f t="shared" si="28"/>
        <v>0</v>
      </c>
    </row>
    <row r="41" spans="2:27">
      <c r="B41" s="29" t="s">
        <v>40</v>
      </c>
      <c r="C41" s="29"/>
      <c r="D41" s="34">
        <f>'Inputs &amp; Outputs'!J14</f>
        <v>0.1</v>
      </c>
      <c r="E41" s="34">
        <f>'Inputs &amp; Outputs'!K14</f>
        <v>0.08</v>
      </c>
      <c r="F41" s="344">
        <f>IF('Inputs &amp; Outputs'!K14="",D41*Price_Incr,D41)</f>
        <v>0.1</v>
      </c>
      <c r="G41" s="345">
        <f>IF('Inputs &amp; Outputs'!$K14="",D41*Price_Decr,E41)</f>
        <v>0.08</v>
      </c>
      <c r="I41" s="129">
        <f t="shared" si="23"/>
        <v>14400</v>
      </c>
      <c r="J41" s="19"/>
      <c r="K41">
        <f t="shared" si="24"/>
        <v>4000</v>
      </c>
      <c r="M41" s="34"/>
      <c r="N41" s="41">
        <f t="shared" si="25"/>
        <v>7816.5</v>
      </c>
      <c r="O41" s="34"/>
      <c r="P41" s="41">
        <f t="shared" si="26"/>
        <v>4000</v>
      </c>
      <c r="W41" s="129">
        <f t="shared" si="27"/>
        <v>0</v>
      </c>
      <c r="X41" s="19"/>
      <c r="Y41" s="19"/>
      <c r="Z41" s="129">
        <f t="shared" si="28"/>
        <v>0</v>
      </c>
    </row>
    <row r="42" spans="2:27">
      <c r="B42" s="31" t="s">
        <v>7</v>
      </c>
      <c r="C42" s="31"/>
      <c r="D42" s="34">
        <f>'Inputs &amp; Outputs'!J15</f>
        <v>0.11</v>
      </c>
      <c r="E42" s="34">
        <f>'Inputs &amp; Outputs'!K15</f>
        <v>7.0000000000000007E-2</v>
      </c>
      <c r="F42" s="344">
        <f>IF('Inputs &amp; Outputs'!K15="",D42*Price_Incr,D42)</f>
        <v>0.11</v>
      </c>
      <c r="G42" s="345">
        <f>IF('Inputs &amp; Outputs'!$K15="",D42*Price_Decr,E42)</f>
        <v>7.0000000000000007E-2</v>
      </c>
      <c r="I42" s="129">
        <f t="shared" si="23"/>
        <v>11880</v>
      </c>
      <c r="J42" s="19"/>
      <c r="K42">
        <f t="shared" si="24"/>
        <v>3500.0000000000005</v>
      </c>
      <c r="M42" s="34"/>
      <c r="N42" s="41">
        <f t="shared" si="25"/>
        <v>4293.3</v>
      </c>
      <c r="O42" s="34"/>
      <c r="P42" s="41">
        <f t="shared" si="26"/>
        <v>3500.0000000000005</v>
      </c>
      <c r="W42" s="129">
        <f t="shared" si="27"/>
        <v>798.6</v>
      </c>
      <c r="X42" s="19"/>
      <c r="Y42" s="19"/>
      <c r="Z42" s="129">
        <f t="shared" si="28"/>
        <v>0</v>
      </c>
    </row>
    <row r="43" spans="2:27">
      <c r="B43" s="29" t="s">
        <v>41</v>
      </c>
      <c r="C43" s="29"/>
      <c r="D43" s="34">
        <f>'Inputs &amp; Outputs'!J16</f>
        <v>0.12</v>
      </c>
      <c r="E43" s="34">
        <f>'Inputs &amp; Outputs'!K16</f>
        <v>7.0000000000000007E-2</v>
      </c>
      <c r="F43" s="344">
        <f>IF('Inputs &amp; Outputs'!K16="",D43*Price_Incr,D43)</f>
        <v>0.12</v>
      </c>
      <c r="G43" s="345">
        <f>IF('Inputs &amp; Outputs'!$K16="",D43*Price_Decr,E43)</f>
        <v>7.0000000000000007E-2</v>
      </c>
      <c r="I43" s="129">
        <f t="shared" si="23"/>
        <v>12960</v>
      </c>
      <c r="J43" s="19"/>
      <c r="K43">
        <f t="shared" si="24"/>
        <v>3500.0000000000005</v>
      </c>
      <c r="M43" s="34"/>
      <c r="N43" s="41">
        <f t="shared" si="25"/>
        <v>5059.8</v>
      </c>
      <c r="O43" s="34"/>
      <c r="P43" s="41">
        <f t="shared" si="26"/>
        <v>3500.0000000000005</v>
      </c>
      <c r="W43" s="129">
        <f t="shared" si="27"/>
        <v>831.6</v>
      </c>
      <c r="X43" s="19"/>
      <c r="Y43" s="19"/>
      <c r="Z43" s="129">
        <f t="shared" si="28"/>
        <v>0</v>
      </c>
    </row>
    <row r="44" spans="2:27">
      <c r="B44" s="31" t="s">
        <v>42</v>
      </c>
      <c r="C44" s="31"/>
      <c r="D44" s="34">
        <f>'Inputs &amp; Outputs'!J17</f>
        <v>0.13</v>
      </c>
      <c r="E44" s="34">
        <f>'Inputs &amp; Outputs'!K17</f>
        <v>0.09</v>
      </c>
      <c r="F44" s="344">
        <f>IF('Inputs &amp; Outputs'!K17="",D44*Price_Incr,D44)</f>
        <v>0.13</v>
      </c>
      <c r="G44" s="345">
        <f>IF('Inputs &amp; Outputs'!$K17="",D44*Price_Decr,E44)</f>
        <v>0.09</v>
      </c>
      <c r="I44" s="129">
        <f t="shared" si="23"/>
        <v>14040</v>
      </c>
      <c r="J44" s="19"/>
      <c r="K44">
        <f t="shared" si="24"/>
        <v>4500</v>
      </c>
      <c r="M44" s="34"/>
      <c r="N44" s="41">
        <f t="shared" si="25"/>
        <v>5073.9000000000005</v>
      </c>
      <c r="O44" s="34"/>
      <c r="P44" s="41">
        <f t="shared" si="26"/>
        <v>4500</v>
      </c>
      <c r="W44" s="129">
        <f t="shared" si="27"/>
        <v>943.80000000000007</v>
      </c>
      <c r="X44" s="19"/>
      <c r="Y44" s="19"/>
      <c r="Z44" s="129">
        <f t="shared" si="28"/>
        <v>0</v>
      </c>
    </row>
    <row r="45" spans="2:27">
      <c r="B45" s="29" t="s">
        <v>43</v>
      </c>
      <c r="C45" s="29"/>
      <c r="D45" s="34">
        <f>'Inputs &amp; Outputs'!J18</f>
        <v>0.14000000000000001</v>
      </c>
      <c r="E45" s="34">
        <f>'Inputs &amp; Outputs'!K18</f>
        <v>0.09</v>
      </c>
      <c r="F45" s="344">
        <f>IF('Inputs &amp; Outputs'!K18="",D45*Price_Incr,D45)</f>
        <v>0.14000000000000001</v>
      </c>
      <c r="G45" s="345">
        <f>IF('Inputs &amp; Outputs'!$K18="",D45*Price_Decr,E45)</f>
        <v>0.09</v>
      </c>
      <c r="I45" s="129">
        <f t="shared" si="23"/>
        <v>15120.000000000002</v>
      </c>
      <c r="J45" s="19"/>
      <c r="K45">
        <f t="shared" si="24"/>
        <v>4500</v>
      </c>
      <c r="M45" s="34"/>
      <c r="N45" s="41">
        <f t="shared" si="25"/>
        <v>5464.2000000000007</v>
      </c>
      <c r="O45" s="34"/>
      <c r="P45" s="41">
        <f t="shared" si="26"/>
        <v>4500</v>
      </c>
      <c r="W45" s="129">
        <f t="shared" si="27"/>
        <v>1016.4000000000001</v>
      </c>
      <c r="X45" s="19"/>
      <c r="Y45" s="19"/>
      <c r="Z45" s="129">
        <f t="shared" si="28"/>
        <v>0</v>
      </c>
    </row>
    <row r="46" spans="2:27">
      <c r="B46" s="31" t="s">
        <v>44</v>
      </c>
      <c r="C46" s="31"/>
      <c r="D46" s="34">
        <f>'Inputs &amp; Outputs'!J19</f>
        <v>0.11</v>
      </c>
      <c r="E46" s="34">
        <f>'Inputs &amp; Outputs'!K19</f>
        <v>0.08</v>
      </c>
      <c r="F46" s="344">
        <f>IF('Inputs &amp; Outputs'!K19="",D46*Price_Incr,D46)</f>
        <v>0.11</v>
      </c>
      <c r="G46" s="345">
        <f>IF('Inputs &amp; Outputs'!$K19="",D46*Price_Decr,E46)</f>
        <v>0.08</v>
      </c>
      <c r="I46" s="129">
        <f t="shared" si="23"/>
        <v>11880</v>
      </c>
      <c r="J46" s="19"/>
      <c r="K46">
        <f t="shared" si="24"/>
        <v>4000</v>
      </c>
      <c r="M46" s="34"/>
      <c r="N46" s="41">
        <f t="shared" si="25"/>
        <v>4638.1499999999996</v>
      </c>
      <c r="O46" s="34"/>
      <c r="P46" s="41">
        <f t="shared" si="26"/>
        <v>4000</v>
      </c>
      <c r="W46" s="129">
        <f t="shared" si="27"/>
        <v>762.3</v>
      </c>
      <c r="X46" s="19"/>
      <c r="Y46" s="19"/>
      <c r="Z46" s="129">
        <f t="shared" si="28"/>
        <v>0</v>
      </c>
    </row>
    <row r="47" spans="2:27">
      <c r="B47" s="29" t="s">
        <v>45</v>
      </c>
      <c r="C47" s="29"/>
      <c r="D47" s="34">
        <f>'Inputs &amp; Outputs'!J20</f>
        <v>0.11</v>
      </c>
      <c r="E47" s="34">
        <f>'Inputs &amp; Outputs'!K20</f>
        <v>0.08</v>
      </c>
      <c r="F47" s="344">
        <f>IF('Inputs &amp; Outputs'!K20="",D47*Price_Incr,D47)</f>
        <v>0.11</v>
      </c>
      <c r="G47" s="345">
        <f>IF('Inputs &amp; Outputs'!$K20="",D47*Price_Decr,E47)</f>
        <v>0.08</v>
      </c>
      <c r="I47" s="129">
        <f t="shared" si="23"/>
        <v>9350</v>
      </c>
      <c r="J47" s="19"/>
      <c r="K47">
        <f t="shared" si="24"/>
        <v>3840</v>
      </c>
      <c r="M47" s="34"/>
      <c r="N47" s="41">
        <f t="shared" si="25"/>
        <v>1763.3</v>
      </c>
      <c r="O47" s="34"/>
      <c r="P47" s="41">
        <f t="shared" si="26"/>
        <v>3840</v>
      </c>
      <c r="W47" s="129">
        <f t="shared" si="27"/>
        <v>0</v>
      </c>
      <c r="X47" s="19"/>
      <c r="Y47" s="19"/>
      <c r="Z47" s="129">
        <f t="shared" si="28"/>
        <v>0</v>
      </c>
    </row>
    <row r="48" spans="2:27">
      <c r="B48" s="31" t="s">
        <v>46</v>
      </c>
      <c r="C48" s="31"/>
      <c r="D48" s="34">
        <f>'Inputs &amp; Outputs'!J21</f>
        <v>0.12</v>
      </c>
      <c r="E48" s="34">
        <f>'Inputs &amp; Outputs'!K21</f>
        <v>0.1</v>
      </c>
      <c r="F48" s="344">
        <f>IF('Inputs &amp; Outputs'!K21="",D48*Price_Incr,D48)</f>
        <v>0.12</v>
      </c>
      <c r="G48" s="345">
        <f>IF('Inputs &amp; Outputs'!$K21="",D48*Price_Decr,E48)</f>
        <v>0.1</v>
      </c>
      <c r="I48" s="129">
        <f t="shared" si="23"/>
        <v>10200</v>
      </c>
      <c r="J48" s="19"/>
      <c r="K48">
        <f t="shared" si="24"/>
        <v>6700</v>
      </c>
      <c r="M48" s="34"/>
      <c r="N48" s="41">
        <f t="shared" si="25"/>
        <v>2299.7999999999997</v>
      </c>
      <c r="O48" s="34"/>
      <c r="P48" s="41">
        <f t="shared" si="26"/>
        <v>6700</v>
      </c>
      <c r="W48" s="129">
        <f t="shared" si="27"/>
        <v>0</v>
      </c>
      <c r="X48" s="19"/>
      <c r="Y48" s="19"/>
      <c r="Z48" s="129">
        <f t="shared" si="28"/>
        <v>0</v>
      </c>
    </row>
    <row r="49" spans="2:27">
      <c r="B49" s="29" t="s">
        <v>47</v>
      </c>
      <c r="C49" s="29"/>
      <c r="D49" s="34">
        <f>'Inputs &amp; Outputs'!J22</f>
        <v>0.12</v>
      </c>
      <c r="E49" s="34">
        <f>'Inputs &amp; Outputs'!K22</f>
        <v>0.1</v>
      </c>
      <c r="F49" s="346">
        <f>IF('Inputs &amp; Outputs'!K22="",D49*Price_Incr,D49)</f>
        <v>0.12</v>
      </c>
      <c r="G49" s="347">
        <f>IF('Inputs &amp; Outputs'!$K22="",D49*Price_Decr,E49)</f>
        <v>0.1</v>
      </c>
      <c r="I49" s="129">
        <f t="shared" si="23"/>
        <v>10200</v>
      </c>
      <c r="J49" s="19"/>
      <c r="K49">
        <f t="shared" si="24"/>
        <v>6700</v>
      </c>
      <c r="M49" s="34"/>
      <c r="N49" s="41">
        <f t="shared" si="25"/>
        <v>1923.6</v>
      </c>
      <c r="O49" s="34"/>
      <c r="P49" s="41">
        <f t="shared" si="26"/>
        <v>6700</v>
      </c>
      <c r="W49" s="129">
        <f t="shared" si="27"/>
        <v>0</v>
      </c>
      <c r="X49" s="19"/>
      <c r="Y49" s="19"/>
      <c r="Z49" s="129">
        <f t="shared" si="28"/>
        <v>0</v>
      </c>
    </row>
    <row r="50" spans="2:27">
      <c r="F50" s="187">
        <f>Tables!M62</f>
        <v>1.1499999999999999</v>
      </c>
      <c r="G50" s="187">
        <f>Tables!M63</f>
        <v>0.85</v>
      </c>
      <c r="I50" s="130">
        <f>SUM(I38:I49)</f>
        <v>139780</v>
      </c>
      <c r="J50" s="130"/>
      <c r="K50" s="130">
        <f>SUM(K38:K49)</f>
        <v>57990</v>
      </c>
      <c r="M50" s="34"/>
      <c r="N50" s="120">
        <f>SUM(N38:N49)</f>
        <v>44695.450000000012</v>
      </c>
      <c r="O50" s="120"/>
      <c r="P50" s="120">
        <f>SUM(P38:P49)</f>
        <v>57990</v>
      </c>
      <c r="W50" s="130">
        <f>SUM(W38:W49)</f>
        <v>4352.7</v>
      </c>
      <c r="X50" s="130"/>
      <c r="Y50" s="130"/>
      <c r="Z50" s="130">
        <f>SUM(Z38:Z49)</f>
        <v>0</v>
      </c>
    </row>
    <row r="51" spans="2:27">
      <c r="I51" s="32"/>
      <c r="J51" s="19"/>
      <c r="L51" s="264">
        <f>SUM(I50:K50)</f>
        <v>197770</v>
      </c>
      <c r="M51" s="34"/>
      <c r="N51" s="34"/>
      <c r="Q51" s="264">
        <f>SUM(N50:P50)</f>
        <v>102685.45000000001</v>
      </c>
      <c r="W51" s="32"/>
      <c r="X51" s="19"/>
      <c r="Y51" s="19"/>
      <c r="AA51" s="264">
        <f>SUM(W50:Z50)</f>
        <v>4352.7</v>
      </c>
    </row>
    <row r="52" spans="2:27">
      <c r="M52" s="34"/>
      <c r="N52" s="34"/>
      <c r="O52" s="34"/>
    </row>
    <row r="53" spans="2:27">
      <c r="K53" s="34"/>
    </row>
    <row r="54" spans="2:27" ht="15">
      <c r="B54" s="190" t="s">
        <v>158</v>
      </c>
      <c r="C54" s="96"/>
      <c r="D54" s="97"/>
      <c r="K54" s="34"/>
      <c r="R54" s="323"/>
    </row>
    <row r="55" spans="2:27">
      <c r="B55" s="132"/>
      <c r="C55" s="266" t="s">
        <v>159</v>
      </c>
      <c r="D55" s="267" t="s">
        <v>153</v>
      </c>
      <c r="K55" s="34"/>
    </row>
    <row r="56" spans="2:27">
      <c r="B56" s="191" t="s">
        <v>37</v>
      </c>
      <c r="C56" s="192">
        <f>('Inputs &amp; Outputs'!H11+'Inputs &amp; Outputs'!I11)/('Inputs &amp; Outputs'!F11*24*K4)</f>
        <v>0.43468313886982385</v>
      </c>
      <c r="D56" s="318">
        <f>Q21/(('Inputs &amp; Outputs'!F11-U4)*12*24*K4)</f>
        <v>5.0270028092608735E-2</v>
      </c>
      <c r="K56" s="34"/>
    </row>
    <row r="57" spans="2:27">
      <c r="B57" s="193" t="s">
        <v>38</v>
      </c>
      <c r="C57" s="192">
        <f>('Inputs &amp; Outputs'!H12+'Inputs &amp; Outputs'!I12)/('Inputs &amp; Outputs'!F12*24*K5)</f>
        <v>0.48125633232016213</v>
      </c>
      <c r="D57" s="318">
        <f>Q22/(('Inputs &amp; Outputs'!F12-U5)*12*24*K5)</f>
        <v>5.9858966108966107E-2</v>
      </c>
      <c r="K57" s="34"/>
    </row>
    <row r="58" spans="2:27">
      <c r="B58" s="191" t="s">
        <v>39</v>
      </c>
      <c r="C58" s="192">
        <f>('Inputs &amp; Outputs'!H13+'Inputs &amp; Outputs'!I13)/('Inputs &amp; Outputs'!F13*24*K6)</f>
        <v>0.43468313886982385</v>
      </c>
      <c r="D58" s="318">
        <f>Q23/(('Inputs &amp; Outputs'!F13-U6)*12*24*K6)</f>
        <v>5.0270028092608735E-2</v>
      </c>
      <c r="K58" s="34"/>
    </row>
    <row r="59" spans="2:27">
      <c r="B59" s="193" t="s">
        <v>40</v>
      </c>
      <c r="C59" s="192">
        <f>('Inputs &amp; Outputs'!H14+'Inputs &amp; Outputs'!I14)/('Inputs &amp; Outputs'!F14*24*K7)</f>
        <v>0.58574879227053145</v>
      </c>
      <c r="D59" s="318">
        <f>Q24/(('Inputs &amp; Outputs'!F14-U7)*12*24*K7)</f>
        <v>8.4765211640211641E-2</v>
      </c>
      <c r="K59" s="34"/>
    </row>
    <row r="60" spans="2:27">
      <c r="B60" s="191" t="s">
        <v>7</v>
      </c>
      <c r="C60" s="192">
        <f>('Inputs &amp; Outputs'!H15+'Inputs &amp; Outputs'!I15)/('Inputs &amp; Outputs'!F15*24*K8)</f>
        <v>0.42473118279569894</v>
      </c>
      <c r="D60" s="318">
        <f>Q25/(('Inputs &amp; Outputs'!F15-U8)*12*24*K8)</f>
        <v>4.6381387013420025E-2</v>
      </c>
      <c r="K60" s="34"/>
    </row>
    <row r="61" spans="2:27">
      <c r="B61" s="193" t="s">
        <v>41</v>
      </c>
      <c r="C61" s="192">
        <f>('Inputs &amp; Outputs'!H16+'Inputs &amp; Outputs'!I16)/('Inputs &amp; Outputs'!F16*24*K9)</f>
        <v>0.43801286316256377</v>
      </c>
      <c r="D61" s="318">
        <f>Q26/(('Inputs &amp; Outputs'!F16-U9)*12*24*K9)</f>
        <v>4.9385395233196162E-2</v>
      </c>
      <c r="I61" s="34"/>
      <c r="J61" s="34"/>
      <c r="K61" s="34"/>
    </row>
    <row r="62" spans="2:27">
      <c r="B62" s="191" t="s">
        <v>42</v>
      </c>
      <c r="C62" s="192">
        <f>('Inputs &amp; Outputs'!H17+'Inputs &amp; Outputs'!I17)/('Inputs &amp; Outputs'!F17*24*K10)</f>
        <v>0.21215343795988958</v>
      </c>
      <c r="D62" s="318">
        <f>Q27/(('Inputs &amp; Outputs'!F17-U10)*12*24*K10)</f>
        <v>1.3927371798722492E-2</v>
      </c>
      <c r="I62" s="34"/>
      <c r="J62" s="34"/>
      <c r="K62" s="34"/>
    </row>
    <row r="63" spans="2:27">
      <c r="B63" s="193" t="s">
        <v>43</v>
      </c>
      <c r="C63" s="192">
        <f>('Inputs &amp; Outputs'!H18+'Inputs &amp; Outputs'!I18)/('Inputs &amp; Outputs'!F18*24*K11)</f>
        <v>0.42473118279569894</v>
      </c>
      <c r="D63" s="318">
        <f>Q28/(('Inputs &amp; Outputs'!F18-U11)*12*24*K11)</f>
        <v>4.6381387013420025E-2</v>
      </c>
      <c r="I63" s="34"/>
      <c r="J63" s="34"/>
      <c r="K63" s="34"/>
    </row>
    <row r="64" spans="2:27">
      <c r="B64" s="191" t="s">
        <v>44</v>
      </c>
      <c r="C64" s="192">
        <f>('Inputs &amp; Outputs'!H19+'Inputs &amp; Outputs'!I19)/('Inputs &amp; Outputs'!F19*24*K12)</f>
        <v>0.43888888888888888</v>
      </c>
      <c r="D64" s="318">
        <f>Q29/(('Inputs &amp; Outputs'!F19-U12)*12*24*K12)</f>
        <v>4.9615094745908701E-2</v>
      </c>
      <c r="I64" s="34"/>
      <c r="J64" s="34"/>
      <c r="K64" s="34"/>
    </row>
    <row r="65" spans="2:11">
      <c r="B65" s="193" t="s">
        <v>45</v>
      </c>
      <c r="C65" s="192">
        <f>('Inputs &amp; Outputs'!H20+'Inputs &amp; Outputs'!I20)/('Inputs &amp; Outputs'!F20*24*K13)</f>
        <v>0.38861617578307622</v>
      </c>
      <c r="D65" s="318">
        <f>Q30/(('Inputs &amp; Outputs'!F20-U13)*12*24*K13)</f>
        <v>4.0981822836661547E-2</v>
      </c>
      <c r="I65" s="34"/>
      <c r="J65" s="34"/>
      <c r="K65" s="34"/>
    </row>
    <row r="66" spans="2:11">
      <c r="B66" s="191" t="s">
        <v>46</v>
      </c>
      <c r="C66" s="192">
        <f>('Inputs &amp; Outputs'!H21+'Inputs &amp; Outputs'!I21)/('Inputs &amp; Outputs'!F21*24*K14)</f>
        <v>0.44917257683215128</v>
      </c>
      <c r="D66" s="318">
        <f>Q31/(('Inputs &amp; Outputs'!F21-U14)*12*24*K14)</f>
        <v>5.390703203203203E-2</v>
      </c>
      <c r="I66" s="34"/>
      <c r="J66" s="34"/>
      <c r="K66" s="34"/>
    </row>
    <row r="67" spans="2:11">
      <c r="B67" s="193" t="s">
        <v>47</v>
      </c>
      <c r="C67" s="192">
        <f>('Inputs &amp; Outputs'!H22+'Inputs &amp; Outputs'!I22)/('Inputs &amp; Outputs'!F22*24*K15)</f>
        <v>0.43468313886982385</v>
      </c>
      <c r="D67" s="318">
        <f>Q32/(('Inputs &amp; Outputs'!F22-U15)*12*24*K15)</f>
        <v>5.0270028092608735E-2</v>
      </c>
      <c r="I67" s="34"/>
      <c r="J67" s="34"/>
      <c r="K67" s="34"/>
    </row>
    <row r="68" spans="2:11">
      <c r="B68" s="319" t="s">
        <v>345</v>
      </c>
      <c r="C68" s="320">
        <f>AVERAGE(C56:C67)</f>
        <v>0.42894673745151107</v>
      </c>
      <c r="D68" s="321">
        <f>AVERAGE(D56:D67)</f>
        <v>4.9667812725030409E-2</v>
      </c>
      <c r="I68" s="34"/>
      <c r="J68" s="34"/>
      <c r="K68" s="34"/>
    </row>
    <row r="69" spans="2:11">
      <c r="I69" s="34"/>
      <c r="J69" s="34"/>
      <c r="K69" s="34"/>
    </row>
    <row r="70" spans="2:11">
      <c r="I70" s="34"/>
      <c r="J70" s="34"/>
      <c r="K70" s="34"/>
    </row>
    <row r="71" spans="2:11">
      <c r="I71" s="34"/>
      <c r="J71" s="34"/>
      <c r="K71" s="34"/>
    </row>
    <row r="72" spans="2:11">
      <c r="I72" s="34"/>
      <c r="J72" s="34"/>
      <c r="K72" s="34"/>
    </row>
    <row r="73" spans="2:11">
      <c r="I73" s="34"/>
      <c r="J73" s="34"/>
      <c r="K73" s="34"/>
    </row>
    <row r="74" spans="2:11">
      <c r="I74" s="34"/>
      <c r="J74" s="34"/>
      <c r="K74" s="34"/>
    </row>
    <row r="75" spans="2:11">
      <c r="I75" s="34"/>
      <c r="J75" s="34"/>
      <c r="K75" s="34"/>
    </row>
    <row r="76" spans="2:11">
      <c r="I76" s="34"/>
      <c r="J76" s="34"/>
      <c r="K76" s="34"/>
    </row>
    <row r="77" spans="2:11">
      <c r="I77" s="34"/>
      <c r="J77" s="34"/>
      <c r="K77" s="34"/>
    </row>
    <row r="78" spans="2:11">
      <c r="K78" s="34"/>
    </row>
    <row r="79" spans="2:11">
      <c r="K79" s="34"/>
    </row>
    <row r="80" spans="2:11">
      <c r="K80" s="34"/>
    </row>
    <row r="81" spans="11:11">
      <c r="K81" s="34"/>
    </row>
    <row r="82" spans="11:11">
      <c r="K82" s="34"/>
    </row>
    <row r="83" spans="11:11">
      <c r="K83" s="34"/>
    </row>
    <row r="84" spans="11:11">
      <c r="K84" s="34"/>
    </row>
    <row r="85" spans="11:11">
      <c r="K85" s="34"/>
    </row>
    <row r="86" spans="11:11">
      <c r="K86" s="34"/>
    </row>
    <row r="87" spans="11:11">
      <c r="K87" s="34"/>
    </row>
    <row r="88" spans="11:11">
      <c r="K88" s="34"/>
    </row>
    <row r="89" spans="11:11">
      <c r="K89" s="34"/>
    </row>
    <row r="90" spans="11:11">
      <c r="K90" s="34"/>
    </row>
    <row r="91" spans="11:11">
      <c r="K91" s="34"/>
    </row>
    <row r="92" spans="11:11">
      <c r="K92" s="34"/>
    </row>
    <row r="93" spans="11:11">
      <c r="K93" s="34"/>
    </row>
    <row r="94" spans="11:11">
      <c r="K94" s="34"/>
    </row>
    <row r="95" spans="11:11">
      <c r="K95" s="34"/>
    </row>
    <row r="96" spans="11:11">
      <c r="K96" s="34"/>
    </row>
  </sheetData>
  <mergeCells count="4">
    <mergeCell ref="U1:V1"/>
    <mergeCell ref="F36:G36"/>
    <mergeCell ref="D1:E1"/>
    <mergeCell ref="I19:L19"/>
  </mergeCells>
  <phoneticPr fontId="0" type="noConversion"/>
  <conditionalFormatting sqref="I21:I31">
    <cfRule type="expression" dxfId="0" priority="1" stopIfTrue="1">
      <formula>$F$21=0</formula>
    </cfRule>
  </conditionalFormatting>
  <pageMargins left="0.25" right="0.25" top="0.5" bottom="0.5" header="0.5" footer="0.5"/>
  <pageSetup scale="56" orientation="landscape"/>
  <headerFooter>
    <oddHeader>&amp;F</oddHeader>
    <oddFooter>&amp;A&amp;RPage &amp;P</oddFooter>
  </headerFooter>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dimension ref="A1:AM159"/>
  <sheetViews>
    <sheetView topLeftCell="A2" workbookViewId="0">
      <pane ySplit="1300" topLeftCell="A97" activePane="bottomLeft"/>
      <selection activeCell="AF4" sqref="AF4"/>
      <selection pane="bottomLeft" activeCell="G118" sqref="G118"/>
    </sheetView>
  </sheetViews>
  <sheetFormatPr baseColWidth="10" defaultColWidth="9.1640625" defaultRowHeight="12" x14ac:dyDescent="0"/>
  <cols>
    <col min="1" max="1" width="5.5" style="34" customWidth="1"/>
    <col min="2" max="2" width="18.6640625" style="34" customWidth="1"/>
    <col min="3" max="13" width="8.6640625" style="34" customWidth="1"/>
    <col min="14" max="16" width="8.6640625" style="32" customWidth="1"/>
    <col min="17" max="31" width="8.6640625" style="34" customWidth="1"/>
    <col min="32" max="32" width="9.33203125" style="34" bestFit="1" customWidth="1"/>
    <col min="33" max="33" width="10.6640625" style="34" bestFit="1" customWidth="1"/>
    <col min="34" max="34" width="9.1640625" style="34"/>
    <col min="35" max="36" width="9.33203125" style="34" bestFit="1" customWidth="1"/>
    <col min="37" max="37" width="9.1640625" style="34"/>
    <col min="38" max="39" width="9.33203125" style="34" bestFit="1" customWidth="1"/>
    <col min="40" max="16384" width="9.1640625" style="34"/>
  </cols>
  <sheetData>
    <row r="1" spans="1:39" s="32" customFormat="1" ht="15">
      <c r="A1" s="34"/>
      <c r="B1" s="33" t="s">
        <v>77</v>
      </c>
      <c r="C1" s="34"/>
      <c r="D1" s="34"/>
      <c r="E1" s="34"/>
      <c r="F1" s="34"/>
      <c r="G1" s="34"/>
      <c r="H1" s="34"/>
      <c r="I1" s="34"/>
      <c r="J1" s="34"/>
      <c r="L1" s="34"/>
      <c r="M1" s="34"/>
      <c r="AC1" s="34"/>
      <c r="AD1" s="34"/>
      <c r="AE1" s="34"/>
      <c r="AF1" s="34"/>
    </row>
    <row r="2" spans="1:39" s="32" customFormat="1">
      <c r="C2" s="55" t="s">
        <v>125</v>
      </c>
      <c r="D2" s="50"/>
      <c r="E2" s="50"/>
      <c r="F2" s="50"/>
      <c r="G2" s="50"/>
      <c r="H2" s="50"/>
      <c r="I2" s="50"/>
      <c r="J2" s="50"/>
      <c r="K2" s="50"/>
      <c r="L2" s="50"/>
      <c r="M2" s="50"/>
      <c r="N2" s="50"/>
      <c r="O2" s="50"/>
      <c r="P2" s="50"/>
      <c r="Q2" s="45"/>
      <c r="R2" s="56" t="s">
        <v>135</v>
      </c>
      <c r="S2" s="48"/>
      <c r="T2" s="48"/>
      <c r="U2" s="48"/>
      <c r="V2" s="48"/>
      <c r="W2" s="48"/>
      <c r="X2" s="48"/>
      <c r="Y2" s="48"/>
      <c r="Z2" s="48"/>
      <c r="AB2" s="127" t="s">
        <v>100</v>
      </c>
      <c r="AC2" s="86"/>
      <c r="AD2" s="86"/>
      <c r="AE2" s="86"/>
      <c r="AF2" s="86"/>
      <c r="AG2" s="86"/>
      <c r="AI2" s="189" t="s">
        <v>210</v>
      </c>
      <c r="AJ2" s="124"/>
      <c r="AL2" s="124"/>
      <c r="AM2" s="124"/>
    </row>
    <row r="3" spans="1:39" s="32" customFormat="1">
      <c r="A3" s="34"/>
      <c r="B3" s="34"/>
      <c r="C3" s="493" t="s">
        <v>27</v>
      </c>
      <c r="D3" s="493"/>
      <c r="E3" s="493"/>
      <c r="F3" s="493"/>
      <c r="G3" s="493" t="s">
        <v>28</v>
      </c>
      <c r="H3" s="493"/>
      <c r="I3" s="493"/>
      <c r="J3" s="493"/>
      <c r="K3" s="493" t="s">
        <v>27</v>
      </c>
      <c r="L3" s="493"/>
      <c r="M3" s="493"/>
      <c r="N3" s="493" t="s">
        <v>28</v>
      </c>
      <c r="O3" s="493"/>
      <c r="P3"/>
      <c r="Q3" s="45"/>
      <c r="R3" s="493" t="s">
        <v>27</v>
      </c>
      <c r="S3" s="493"/>
      <c r="T3" s="493" t="s">
        <v>28</v>
      </c>
      <c r="U3" s="493"/>
      <c r="V3" s="493" t="s">
        <v>27</v>
      </c>
      <c r="W3" s="493"/>
      <c r="X3" s="493"/>
      <c r="Y3" s="493" t="s">
        <v>28</v>
      </c>
      <c r="Z3" s="493"/>
      <c r="AB3" s="143" t="s">
        <v>170</v>
      </c>
      <c r="AF3" s="34"/>
      <c r="AI3" s="143" t="s">
        <v>207</v>
      </c>
      <c r="AM3" s="45"/>
    </row>
    <row r="4" spans="1:39" s="32" customFormat="1" ht="13">
      <c r="A4" s="34"/>
      <c r="B4" s="35" t="s">
        <v>92</v>
      </c>
      <c r="C4" s="21" t="s">
        <v>84</v>
      </c>
      <c r="D4" s="21" t="s">
        <v>85</v>
      </c>
      <c r="E4" s="21" t="s">
        <v>86</v>
      </c>
      <c r="F4" s="21" t="s">
        <v>87</v>
      </c>
      <c r="G4" s="21" t="s">
        <v>84</v>
      </c>
      <c r="H4" s="21" t="s">
        <v>85</v>
      </c>
      <c r="I4" s="21" t="s">
        <v>86</v>
      </c>
      <c r="J4" s="21" t="s">
        <v>87</v>
      </c>
      <c r="K4" s="40" t="s">
        <v>88</v>
      </c>
      <c r="L4" s="40" t="s">
        <v>89</v>
      </c>
      <c r="M4" s="40" t="s">
        <v>90</v>
      </c>
      <c r="N4" s="40" t="s">
        <v>88</v>
      </c>
      <c r="O4" s="40" t="s">
        <v>89</v>
      </c>
      <c r="P4" s="40" t="s">
        <v>90</v>
      </c>
      <c r="Q4" s="40"/>
      <c r="R4" s="21" t="s">
        <v>84</v>
      </c>
      <c r="S4" s="21" t="s">
        <v>85</v>
      </c>
      <c r="T4" s="21" t="s">
        <v>84</v>
      </c>
      <c r="U4" s="21" t="s">
        <v>85</v>
      </c>
      <c r="V4" s="40" t="s">
        <v>88</v>
      </c>
      <c r="W4" s="40" t="s">
        <v>89</v>
      </c>
      <c r="X4" s="40" t="s">
        <v>380</v>
      </c>
      <c r="Y4" s="40" t="s">
        <v>89</v>
      </c>
      <c r="Z4" s="40" t="s">
        <v>380</v>
      </c>
      <c r="AB4" s="144" t="s">
        <v>171</v>
      </c>
      <c r="AC4" s="144" t="s">
        <v>172</v>
      </c>
      <c r="AD4" s="144" t="s">
        <v>174</v>
      </c>
      <c r="AE4" s="144" t="s">
        <v>270</v>
      </c>
      <c r="AF4" s="144" t="s">
        <v>267</v>
      </c>
      <c r="AG4" s="144" t="s">
        <v>268</v>
      </c>
      <c r="AI4" s="45" t="s">
        <v>2</v>
      </c>
      <c r="AJ4" s="45" t="s">
        <v>206</v>
      </c>
      <c r="AK4" s="45"/>
      <c r="AL4" s="45" t="s">
        <v>208</v>
      </c>
      <c r="AM4" s="45" t="s">
        <v>209</v>
      </c>
    </row>
    <row r="5" spans="1:39">
      <c r="B5" s="57" t="s">
        <v>70</v>
      </c>
      <c r="C5" s="25">
        <v>12</v>
      </c>
      <c r="D5" s="25">
        <v>13</v>
      </c>
      <c r="E5" s="25">
        <v>14</v>
      </c>
      <c r="F5" s="25">
        <v>15</v>
      </c>
      <c r="G5" s="25">
        <v>16</v>
      </c>
      <c r="H5" s="25">
        <v>17</v>
      </c>
      <c r="I5" s="25">
        <v>18</v>
      </c>
      <c r="J5" s="25">
        <v>19</v>
      </c>
      <c r="K5" s="25">
        <v>24</v>
      </c>
      <c r="L5" s="25">
        <v>25</v>
      </c>
      <c r="M5" s="25">
        <v>26</v>
      </c>
      <c r="N5" s="25">
        <v>27</v>
      </c>
      <c r="O5" s="25">
        <v>28</v>
      </c>
      <c r="P5" s="25">
        <v>29</v>
      </c>
      <c r="Q5" s="40"/>
      <c r="R5" s="80">
        <v>30</v>
      </c>
      <c r="S5" s="80">
        <v>31</v>
      </c>
      <c r="T5" s="80">
        <v>32</v>
      </c>
      <c r="U5" s="80">
        <v>33</v>
      </c>
      <c r="V5" s="80">
        <v>36</v>
      </c>
      <c r="W5" s="80">
        <v>37</v>
      </c>
      <c r="X5" s="80">
        <v>38</v>
      </c>
      <c r="Y5" s="80">
        <v>39</v>
      </c>
      <c r="Z5" s="80">
        <v>40</v>
      </c>
      <c r="AB5" s="139">
        <f>IF(City=1,9,15)</f>
        <v>9</v>
      </c>
      <c r="AC5" s="139">
        <f>IF(City=1,10,16)</f>
        <v>10</v>
      </c>
      <c r="AD5" s="139">
        <f>IF(City=1,11,17)</f>
        <v>11</v>
      </c>
      <c r="AE5" s="139">
        <f>IF(City=1,12,18)</f>
        <v>12</v>
      </c>
      <c r="AF5" s="139">
        <f>IF(City=1,13,19)</f>
        <v>13</v>
      </c>
      <c r="AG5" s="139">
        <f>IF(City=1,14,20)</f>
        <v>14</v>
      </c>
      <c r="AI5" s="80">
        <v>43</v>
      </c>
      <c r="AJ5" s="80">
        <v>44</v>
      </c>
      <c r="AK5" s="80"/>
      <c r="AL5" s="80">
        <v>45</v>
      </c>
      <c r="AM5" s="80">
        <v>46</v>
      </c>
    </row>
    <row r="6" spans="1:39">
      <c r="A6" s="34" t="s">
        <v>55</v>
      </c>
      <c r="B6" s="36" t="s">
        <v>37</v>
      </c>
      <c r="C6" s="34">
        <f>INDEX(Rate_Table,Tables!$B$5,C$5)</f>
        <v>0</v>
      </c>
      <c r="D6" s="34">
        <f>INDEX(Rate_Table,Tables!$B$5,D$5)</f>
        <v>0</v>
      </c>
      <c r="E6" s="34">
        <f>INDEX(Rate_Table,Tables!$B$5,E$5)</f>
        <v>0</v>
      </c>
      <c r="F6" s="34">
        <f>INDEX(Rate_Table,Tables!$B$5,F$5)</f>
        <v>0</v>
      </c>
      <c r="G6" s="34">
        <f>INDEX(Rate_Table,Tables!$B$5,G$5)</f>
        <v>0</v>
      </c>
      <c r="H6" s="34">
        <f>INDEX(Rate_Table,Tables!$B$5,H$5)</f>
        <v>0</v>
      </c>
      <c r="I6" s="34">
        <f>INDEX(Rate_Table,Tables!$B$5,I$5)</f>
        <v>0</v>
      </c>
      <c r="J6" s="34">
        <f>INDEX(Rate_Table,Tables!$B$5,J$5)</f>
        <v>0</v>
      </c>
      <c r="K6" s="34">
        <f>INDEX(Rate_Table,Tables!$B$5,K$5)</f>
        <v>5.86</v>
      </c>
      <c r="L6" s="34">
        <f>INDEX(Rate_Table,Tables!$B$5,L$5)</f>
        <v>11.09</v>
      </c>
      <c r="M6" s="34">
        <f>INDEX(Rate_Table,Tables!$B$5,M$5)</f>
        <v>10.94</v>
      </c>
      <c r="N6" s="34">
        <f>INDEX(Rate_Table,Tables!$B$5,N$5)</f>
        <v>0</v>
      </c>
      <c r="O6" s="34">
        <f>INDEX(Rate_Table,Tables!$B$5,O$5)</f>
        <v>8.14</v>
      </c>
      <c r="P6" s="34">
        <f>INDEX(Rate_Table,Tables!$B$5,P$5)</f>
        <v>3.54</v>
      </c>
      <c r="R6" s="34">
        <f>INDEX(Rate_Table,Tables!$B$5,R$5)</f>
        <v>0</v>
      </c>
      <c r="S6" s="34">
        <f>INDEX(Rate_Table,Tables!$B$5,S$5)</f>
        <v>0</v>
      </c>
      <c r="T6" s="34">
        <f>INDEX(Rate_Table,Tables!$B$5,T$5)</f>
        <v>0</v>
      </c>
      <c r="U6" s="34">
        <f>INDEX(Rate_Table,Tables!$B$5,U$5)</f>
        <v>0</v>
      </c>
      <c r="V6" s="58">
        <f>INDEX(Rate_Table,Tables!$B$5,V$5)</f>
        <v>0</v>
      </c>
      <c r="W6" s="34">
        <f>INDEX(Rate_Table,Tables!$B$5,W$5)</f>
        <v>5.7999999999999996E-3</v>
      </c>
      <c r="X6" s="34">
        <f>INDEX(Rate_Table,Tables!$B$5,X$5)</f>
        <v>5.7999999999999996E-3</v>
      </c>
      <c r="Y6" s="34">
        <f>INDEX(Rate_Table,Tables!$B$5,Y$5)</f>
        <v>5.7999999999999996E-3</v>
      </c>
      <c r="Z6" s="34">
        <f>INDEX(Rate_Table,Tables!$B$5,Z$5)</f>
        <v>5.7999999999999996E-3</v>
      </c>
      <c r="AB6" s="390"/>
      <c r="AC6" s="142">
        <f>INDEX(MAC_Table,Tables!$B$24,AC$5)</f>
        <v>1.5</v>
      </c>
      <c r="AD6" s="142">
        <f>INDEX(MAC_Table,Tables!$B$24,AD$5)</f>
        <v>0</v>
      </c>
      <c r="AE6" s="142">
        <f>INDEX(MAC_Table,Tables!$B$24,AE$5)</f>
        <v>8.0000000000000002E-3</v>
      </c>
      <c r="AF6" s="142">
        <f>INDEX(MAC_Table,Tables!$B$24,AF$5)</f>
        <v>5.0000000000000001E-3</v>
      </c>
      <c r="AG6" s="142">
        <f>INDEX(MAC_Table,Tables!$B$24,AG$5)</f>
        <v>0</v>
      </c>
      <c r="AI6" s="34">
        <f>INDEX(Rate_Table,Tables!$B$5,AI$5)</f>
        <v>1.7000000000000001E-3</v>
      </c>
      <c r="AJ6" s="34">
        <f>INDEX(Rate_Table,Tables!$B$5,AJ$5)</f>
        <v>5.9999999999999995E-4</v>
      </c>
      <c r="AL6" s="335" t="s">
        <v>356</v>
      </c>
    </row>
    <row r="7" spans="1:39">
      <c r="A7" s="34" t="s">
        <v>55</v>
      </c>
      <c r="B7" s="37" t="s">
        <v>38</v>
      </c>
      <c r="C7" s="34">
        <f>INDEX(Rate_Table,Tables!$B$5,C$5)</f>
        <v>0</v>
      </c>
      <c r="D7" s="34">
        <f>INDEX(Rate_Table,Tables!$B$5,D$5)</f>
        <v>0</v>
      </c>
      <c r="E7" s="34">
        <f>INDEX(Rate_Table,Tables!$B$5,E$5)</f>
        <v>0</v>
      </c>
      <c r="F7" s="34">
        <f>INDEX(Rate_Table,Tables!$B$5,F$5)</f>
        <v>0</v>
      </c>
      <c r="G7" s="34">
        <f>INDEX(Rate_Table,Tables!$B$5,G$5)</f>
        <v>0</v>
      </c>
      <c r="H7" s="34">
        <f>INDEX(Rate_Table,Tables!$B$5,H$5)</f>
        <v>0</v>
      </c>
      <c r="I7" s="34">
        <f>INDEX(Rate_Table,Tables!$B$5,I$5)</f>
        <v>0</v>
      </c>
      <c r="J7" s="34">
        <f>INDEX(Rate_Table,Tables!$B$5,J$5)</f>
        <v>0</v>
      </c>
      <c r="K7" s="34">
        <f>INDEX(Rate_Table,Tables!$B$5,K$5)</f>
        <v>5.86</v>
      </c>
      <c r="L7" s="34">
        <f>INDEX(Rate_Table,Tables!$B$5,L$5)</f>
        <v>11.09</v>
      </c>
      <c r="M7" s="34">
        <f>INDEX(Rate_Table,Tables!$B$5,M$5)</f>
        <v>10.94</v>
      </c>
      <c r="N7" s="34">
        <f>INDEX(Rate_Table,Tables!$B$5,N$5)</f>
        <v>0</v>
      </c>
      <c r="O7" s="34">
        <f>INDEX(Rate_Table,Tables!$B$5,O$5)</f>
        <v>8.14</v>
      </c>
      <c r="P7" s="34">
        <f>INDEX(Rate_Table,Tables!$B$5,P$5)</f>
        <v>3.54</v>
      </c>
      <c r="R7" s="34">
        <f>INDEX(Rate_Table,Tables!$B$5,R$5)</f>
        <v>0</v>
      </c>
      <c r="S7" s="34">
        <f>INDEX(Rate_Table,Tables!$B$5,S$5)</f>
        <v>0</v>
      </c>
      <c r="T7" s="34">
        <f>INDEX(Rate_Table,Tables!$B$5,T$5)</f>
        <v>0</v>
      </c>
      <c r="U7" s="34">
        <f>INDEX(Rate_Table,Tables!$B$5,U$5)</f>
        <v>0</v>
      </c>
      <c r="V7" s="58">
        <f>INDEX(Rate_Table,Tables!$B$5,V$5)</f>
        <v>0</v>
      </c>
      <c r="W7" s="34">
        <f>INDEX(Rate_Table,Tables!$B$5,W$5)</f>
        <v>5.7999999999999996E-3</v>
      </c>
      <c r="X7" s="34">
        <f>INDEX(Rate_Table,Tables!$B$5,X$5)</f>
        <v>5.7999999999999996E-3</v>
      </c>
      <c r="Y7" s="34">
        <f>INDEX(Rate_Table,Tables!$B$5,Y$5)</f>
        <v>5.7999999999999996E-3</v>
      </c>
      <c r="Z7" s="34">
        <f>INDEX(Rate_Table,Tables!$B$5,Z$5)</f>
        <v>5.7999999999999996E-3</v>
      </c>
      <c r="AB7" s="391"/>
      <c r="AC7" s="142">
        <f>INDEX(MAC_Table,Tables!$B$24,AC$5)</f>
        <v>1.5</v>
      </c>
      <c r="AD7" s="142">
        <f>INDEX(MAC_Table,Tables!$B$24,AD$5)</f>
        <v>0</v>
      </c>
      <c r="AE7" s="142">
        <f>INDEX(MAC_Table,Tables!$B$24,AE$5)</f>
        <v>8.0000000000000002E-3</v>
      </c>
      <c r="AF7" s="142">
        <f>INDEX(MAC_Table,Tables!$B$24,AF$5)</f>
        <v>5.0000000000000001E-3</v>
      </c>
      <c r="AG7" s="142">
        <f>INDEX(MAC_Table,Tables!$B$24,AG$5)</f>
        <v>0</v>
      </c>
      <c r="AI7" s="34">
        <f>INDEX(Rate_Table,Tables!$B$5,AI$5)</f>
        <v>1.7000000000000001E-3</v>
      </c>
      <c r="AJ7" s="34">
        <f>INDEX(Rate_Table,Tables!$B$5,AJ$5)</f>
        <v>5.9999999999999995E-4</v>
      </c>
    </row>
    <row r="8" spans="1:39">
      <c r="A8" s="34" t="s">
        <v>55</v>
      </c>
      <c r="B8" s="36" t="s">
        <v>39</v>
      </c>
      <c r="C8" s="34">
        <f>INDEX(Rate_Table,Tables!$B$5,C$5)</f>
        <v>0</v>
      </c>
      <c r="D8" s="34">
        <f>INDEX(Rate_Table,Tables!$B$5,D$5)</f>
        <v>0</v>
      </c>
      <c r="E8" s="34">
        <f>INDEX(Rate_Table,Tables!$B$5,E$5)</f>
        <v>0</v>
      </c>
      <c r="F8" s="34">
        <f>INDEX(Rate_Table,Tables!$B$5,F$5)</f>
        <v>0</v>
      </c>
      <c r="G8" s="34">
        <f>INDEX(Rate_Table,Tables!$B$5,G$5)</f>
        <v>0</v>
      </c>
      <c r="H8" s="34">
        <f>INDEX(Rate_Table,Tables!$B$5,H$5)</f>
        <v>0</v>
      </c>
      <c r="I8" s="34">
        <f>INDEX(Rate_Table,Tables!$B$5,I$5)</f>
        <v>0</v>
      </c>
      <c r="J8" s="34">
        <f>INDEX(Rate_Table,Tables!$B$5,J$5)</f>
        <v>0</v>
      </c>
      <c r="K8" s="34">
        <f>INDEX(Rate_Table,Tables!$B$5,K$5)</f>
        <v>5.86</v>
      </c>
      <c r="L8" s="34">
        <f>INDEX(Rate_Table,Tables!$B$5,L$5)</f>
        <v>11.09</v>
      </c>
      <c r="M8" s="34">
        <f>INDEX(Rate_Table,Tables!$B$5,M$5)</f>
        <v>10.94</v>
      </c>
      <c r="N8" s="34">
        <f>INDEX(Rate_Table,Tables!$B$5,N$5)</f>
        <v>0</v>
      </c>
      <c r="O8" s="34">
        <f>INDEX(Rate_Table,Tables!$B$5,O$5)</f>
        <v>8.14</v>
      </c>
      <c r="P8" s="34">
        <f>INDEX(Rate_Table,Tables!$B$5,P$5)</f>
        <v>3.54</v>
      </c>
      <c r="R8" s="34">
        <f>INDEX(Rate_Table,Tables!$B$5,R$5)</f>
        <v>0</v>
      </c>
      <c r="S8" s="34">
        <f>INDEX(Rate_Table,Tables!$B$5,S$5)</f>
        <v>0</v>
      </c>
      <c r="T8" s="34">
        <f>INDEX(Rate_Table,Tables!$B$5,T$5)</f>
        <v>0</v>
      </c>
      <c r="U8" s="34">
        <f>INDEX(Rate_Table,Tables!$B$5,U$5)</f>
        <v>0</v>
      </c>
      <c r="V8" s="58">
        <f>INDEX(Rate_Table,Tables!$B$5,V$5)</f>
        <v>0</v>
      </c>
      <c r="W8" s="34">
        <f>INDEX(Rate_Table,Tables!$B$5,W$5)</f>
        <v>5.7999999999999996E-3</v>
      </c>
      <c r="X8" s="34">
        <f>INDEX(Rate_Table,Tables!$B$5,X$5)</f>
        <v>5.7999999999999996E-3</v>
      </c>
      <c r="Y8" s="34">
        <f>INDEX(Rate_Table,Tables!$B$5,Y$5)</f>
        <v>5.7999999999999996E-3</v>
      </c>
      <c r="Z8" s="34">
        <f>INDEX(Rate_Table,Tables!$B$5,Z$5)</f>
        <v>5.7999999999999996E-3</v>
      </c>
      <c r="AB8" s="391"/>
      <c r="AC8" s="142">
        <f>INDEX(MAC_Table,Tables!$B$24,AC$5)</f>
        <v>1.5</v>
      </c>
      <c r="AD8" s="142">
        <f>INDEX(MAC_Table,Tables!$B$24,AD$5)</f>
        <v>0</v>
      </c>
      <c r="AE8" s="142">
        <f>INDEX(MAC_Table,Tables!$B$24,AE$5)</f>
        <v>8.0000000000000002E-3</v>
      </c>
      <c r="AF8" s="142">
        <f>INDEX(MAC_Table,Tables!$B$24,AF$5)</f>
        <v>5.0000000000000001E-3</v>
      </c>
      <c r="AG8" s="142">
        <f>INDEX(MAC_Table,Tables!$B$24,AG$5)</f>
        <v>0</v>
      </c>
      <c r="AI8" s="34">
        <f>INDEX(Rate_Table,Tables!$B$5,AI$5)</f>
        <v>1.7000000000000001E-3</v>
      </c>
      <c r="AJ8" s="34">
        <f>INDEX(Rate_Table,Tables!$B$5,AJ$5)</f>
        <v>5.9999999999999995E-4</v>
      </c>
    </row>
    <row r="9" spans="1:39">
      <c r="A9" s="34" t="s">
        <v>55</v>
      </c>
      <c r="B9" s="37" t="s">
        <v>40</v>
      </c>
      <c r="C9" s="34">
        <f>INDEX(Rate_Table,Tables!$B$5,C$5)</f>
        <v>0</v>
      </c>
      <c r="D9" s="34">
        <f>INDEX(Rate_Table,Tables!$B$5,D$5)</f>
        <v>0</v>
      </c>
      <c r="E9" s="34">
        <f>INDEX(Rate_Table,Tables!$B$5,E$5)</f>
        <v>0</v>
      </c>
      <c r="F9" s="34">
        <f>INDEX(Rate_Table,Tables!$B$5,F$5)</f>
        <v>0</v>
      </c>
      <c r="G9" s="34">
        <f>INDEX(Rate_Table,Tables!$B$5,G$5)</f>
        <v>0</v>
      </c>
      <c r="H9" s="34">
        <f>INDEX(Rate_Table,Tables!$B$5,H$5)</f>
        <v>0</v>
      </c>
      <c r="I9" s="34">
        <f>INDEX(Rate_Table,Tables!$B$5,I$5)</f>
        <v>0</v>
      </c>
      <c r="J9" s="34">
        <f>INDEX(Rate_Table,Tables!$B$5,J$5)</f>
        <v>0</v>
      </c>
      <c r="K9" s="34">
        <f>INDEX(Rate_Table,Tables!$B$5,K$5)</f>
        <v>5.86</v>
      </c>
      <c r="L9" s="34">
        <f>INDEX(Rate_Table,Tables!$B$5,L$5)</f>
        <v>11.09</v>
      </c>
      <c r="M9" s="34">
        <f>INDEX(Rate_Table,Tables!$B$5,M$5)</f>
        <v>10.94</v>
      </c>
      <c r="N9" s="34">
        <f>INDEX(Rate_Table,Tables!$B$5,N$5)</f>
        <v>0</v>
      </c>
      <c r="O9" s="34">
        <f>INDEX(Rate_Table,Tables!$B$5,O$5)</f>
        <v>8.14</v>
      </c>
      <c r="P9" s="34">
        <f>INDEX(Rate_Table,Tables!$B$5,P$5)</f>
        <v>3.54</v>
      </c>
      <c r="R9" s="34">
        <f>INDEX(Rate_Table,Tables!$B$5,R$5)</f>
        <v>0</v>
      </c>
      <c r="S9" s="34">
        <f>INDEX(Rate_Table,Tables!$B$5,S$5)</f>
        <v>0</v>
      </c>
      <c r="T9" s="34">
        <f>INDEX(Rate_Table,Tables!$B$5,T$5)</f>
        <v>0</v>
      </c>
      <c r="U9" s="34">
        <f>INDEX(Rate_Table,Tables!$B$5,U$5)</f>
        <v>0</v>
      </c>
      <c r="V9" s="58">
        <f>INDEX(Rate_Table,Tables!$B$5,V$5)</f>
        <v>0</v>
      </c>
      <c r="W9" s="34">
        <f>INDEX(Rate_Table,Tables!$B$5,W$5)</f>
        <v>5.7999999999999996E-3</v>
      </c>
      <c r="X9" s="34">
        <f>INDEX(Rate_Table,Tables!$B$5,X$5)</f>
        <v>5.7999999999999996E-3</v>
      </c>
      <c r="Y9" s="34">
        <f>INDEX(Rate_Table,Tables!$B$5,Y$5)</f>
        <v>5.7999999999999996E-3</v>
      </c>
      <c r="Z9" s="34">
        <f>INDEX(Rate_Table,Tables!$B$5,Z$5)</f>
        <v>5.7999999999999996E-3</v>
      </c>
      <c r="AB9" s="391"/>
      <c r="AC9" s="142">
        <f>INDEX(MAC_Table,Tables!$B$24,AC$5)</f>
        <v>1.5</v>
      </c>
      <c r="AD9" s="142">
        <f>INDEX(MAC_Table,Tables!$B$24,AD$5)</f>
        <v>0</v>
      </c>
      <c r="AE9" s="142">
        <f>INDEX(MAC_Table,Tables!$B$24,AE$5)</f>
        <v>8.0000000000000002E-3</v>
      </c>
      <c r="AF9" s="142">
        <f>INDEX(MAC_Table,Tables!$B$24,AF$5)</f>
        <v>5.0000000000000001E-3</v>
      </c>
      <c r="AG9" s="142">
        <f>INDEX(MAC_Table,Tables!$B$24,AG$5)</f>
        <v>0</v>
      </c>
      <c r="AI9" s="34">
        <f>INDEX(Rate_Table,Tables!$B$5,AI$5)</f>
        <v>1.7000000000000001E-3</v>
      </c>
      <c r="AJ9" s="34">
        <f>INDEX(Rate_Table,Tables!$B$5,AJ$5)</f>
        <v>5.9999999999999995E-4</v>
      </c>
    </row>
    <row r="10" spans="1:39">
      <c r="A10" s="34" t="s">
        <v>55</v>
      </c>
      <c r="B10" s="36" t="s">
        <v>7</v>
      </c>
      <c r="C10" s="34">
        <f>INDEX(Rate_Table,Tables!$B$5,C$5)</f>
        <v>0</v>
      </c>
      <c r="D10" s="34">
        <f>INDEX(Rate_Table,Tables!$B$5,D$5)</f>
        <v>0</v>
      </c>
      <c r="E10" s="34">
        <f>INDEX(Rate_Table,Tables!$B$5,E$5)</f>
        <v>0</v>
      </c>
      <c r="F10" s="34">
        <f>INDEX(Rate_Table,Tables!$B$5,F$5)</f>
        <v>0</v>
      </c>
      <c r="G10" s="34">
        <f>INDEX(Rate_Table,Tables!$B$5,G$5)</f>
        <v>0</v>
      </c>
      <c r="H10" s="34">
        <f>INDEX(Rate_Table,Tables!$B$5,H$5)</f>
        <v>0</v>
      </c>
      <c r="I10" s="34">
        <f>INDEX(Rate_Table,Tables!$B$5,I$5)</f>
        <v>0</v>
      </c>
      <c r="J10" s="34">
        <f>INDEX(Rate_Table,Tables!$B$5,J$5)</f>
        <v>0</v>
      </c>
      <c r="K10" s="34">
        <f>INDEX(Rate_Table,Tables!$B$5,K$5)</f>
        <v>5.86</v>
      </c>
      <c r="L10" s="34">
        <f>INDEX(Rate_Table,Tables!$B$5,L$5)</f>
        <v>11.09</v>
      </c>
      <c r="M10" s="34">
        <f>INDEX(Rate_Table,Tables!$B$5,M$5)</f>
        <v>10.94</v>
      </c>
      <c r="N10" s="34">
        <f>INDEX(Rate_Table,Tables!$B$5,N$5)</f>
        <v>0</v>
      </c>
      <c r="O10" s="34">
        <f>INDEX(Rate_Table,Tables!$B$5,O$5)</f>
        <v>8.14</v>
      </c>
      <c r="P10" s="34">
        <f>INDEX(Rate_Table,Tables!$B$5,P$5)</f>
        <v>3.54</v>
      </c>
      <c r="R10" s="34">
        <f>INDEX(Rate_Table,Tables!$B$5,R$5)</f>
        <v>0</v>
      </c>
      <c r="S10" s="34">
        <f>INDEX(Rate_Table,Tables!$B$5,S$5)</f>
        <v>0</v>
      </c>
      <c r="T10" s="34">
        <f>INDEX(Rate_Table,Tables!$B$5,T$5)</f>
        <v>0</v>
      </c>
      <c r="U10" s="34">
        <f>INDEX(Rate_Table,Tables!$B$5,U$5)</f>
        <v>0</v>
      </c>
      <c r="V10" s="58">
        <f>INDEX(Rate_Table,Tables!$B$5,V$5)</f>
        <v>0</v>
      </c>
      <c r="W10" s="34">
        <f>INDEX(Rate_Table,Tables!$B$5,W$5)</f>
        <v>5.7999999999999996E-3</v>
      </c>
      <c r="X10" s="34">
        <f>INDEX(Rate_Table,Tables!$B$5,X$5)</f>
        <v>5.7999999999999996E-3</v>
      </c>
      <c r="Y10" s="34">
        <f>INDEX(Rate_Table,Tables!$B$5,Y$5)</f>
        <v>5.7999999999999996E-3</v>
      </c>
      <c r="Z10" s="34">
        <f>INDEX(Rate_Table,Tables!$B$5,Z$5)</f>
        <v>5.7999999999999996E-3</v>
      </c>
      <c r="AB10" s="392"/>
      <c r="AC10" s="142">
        <f>INDEX(MAC_Table,Tables!$B$24,AC$5)</f>
        <v>1.5</v>
      </c>
      <c r="AD10" s="142">
        <f>INDEX(MAC_Table,Tables!$B$24,AD$5)</f>
        <v>0</v>
      </c>
      <c r="AE10" s="142">
        <f>INDEX(MAC_Table,Tables!$B$24,AE$5)</f>
        <v>8.0000000000000002E-3</v>
      </c>
      <c r="AF10" s="142">
        <f>INDEX(MAC_Table,Tables!$B$24,AF$5)</f>
        <v>5.0000000000000001E-3</v>
      </c>
      <c r="AG10" s="142">
        <f>INDEX(MAC_Table,Tables!$B$24,AG$5)</f>
        <v>0</v>
      </c>
      <c r="AI10" s="34">
        <f>INDEX(Rate_Table,Tables!$B$5,AI$5)</f>
        <v>1.7000000000000001E-3</v>
      </c>
      <c r="AJ10" s="34">
        <f>INDEX(Rate_Table,Tables!$B$5,AJ$5)</f>
        <v>5.9999999999999995E-4</v>
      </c>
    </row>
    <row r="11" spans="1:39">
      <c r="A11" s="34" t="s">
        <v>56</v>
      </c>
      <c r="B11" s="37" t="s">
        <v>41</v>
      </c>
      <c r="C11" s="34">
        <f>INDEX(Rate_Table,Tables!$B$5,C$5)</f>
        <v>0</v>
      </c>
      <c r="D11" s="34">
        <f>INDEX(Rate_Table,Tables!$B$5,D$5)</f>
        <v>0</v>
      </c>
      <c r="E11" s="34">
        <f>INDEX(Rate_Table,Tables!$B$5,E$5)</f>
        <v>0</v>
      </c>
      <c r="F11" s="34">
        <f>INDEX(Rate_Table,Tables!$B$5,F$5)</f>
        <v>0</v>
      </c>
      <c r="G11" s="34">
        <f>INDEX(Rate_Table,Tables!$B$5,G$5)</f>
        <v>0</v>
      </c>
      <c r="H11" s="34">
        <f>INDEX(Rate_Table,Tables!$B$5,H$5)</f>
        <v>0</v>
      </c>
      <c r="I11" s="34">
        <f>INDEX(Rate_Table,Tables!$B$5,I$5)</f>
        <v>0</v>
      </c>
      <c r="J11" s="34">
        <f>INDEX(Rate_Table,Tables!$B$5,J$5)</f>
        <v>0</v>
      </c>
      <c r="K11" s="34">
        <f>INDEX(Rate_Table,Tables!$B$5,K$5)</f>
        <v>5.86</v>
      </c>
      <c r="L11" s="34">
        <f>INDEX(Rate_Table,Tables!$B$5,L$5)</f>
        <v>11.09</v>
      </c>
      <c r="M11" s="34">
        <f>INDEX(Rate_Table,Tables!$B$5,M$5)</f>
        <v>10.94</v>
      </c>
      <c r="N11" s="34">
        <f>INDEX(Rate_Table,Tables!$B$5,N$5)</f>
        <v>0</v>
      </c>
      <c r="O11" s="34">
        <f>INDEX(Rate_Table,Tables!$B$5,O$5)</f>
        <v>8.14</v>
      </c>
      <c r="P11" s="34">
        <f>INDEX(Rate_Table,Tables!$B$5,P$5)</f>
        <v>3.54</v>
      </c>
      <c r="R11" s="34">
        <f>INDEX(Rate_Table,Tables!$B$5,R$5)</f>
        <v>0</v>
      </c>
      <c r="S11" s="34">
        <f>INDEX(Rate_Table,Tables!$B$5,S$5)</f>
        <v>0</v>
      </c>
      <c r="T11" s="34">
        <f>INDEX(Rate_Table,Tables!$B$5,T$5)</f>
        <v>0</v>
      </c>
      <c r="U11" s="34">
        <f>INDEX(Rate_Table,Tables!$B$5,U$5)</f>
        <v>0</v>
      </c>
      <c r="V11" s="58">
        <f>INDEX(Rate_Table,Tables!$B$5,V$5)</f>
        <v>0</v>
      </c>
      <c r="W11" s="34">
        <f>INDEX(Rate_Table,Tables!$B$5,W$5)</f>
        <v>5.7999999999999996E-3</v>
      </c>
      <c r="X11" s="34">
        <f>INDEX(Rate_Table,Tables!$B$5,X$5)</f>
        <v>5.7999999999999996E-3</v>
      </c>
      <c r="Y11" s="34">
        <f>INDEX(Rate_Table,Tables!$B$5,Y$5)</f>
        <v>5.7999999999999996E-3</v>
      </c>
      <c r="Z11" s="34">
        <f>INDEX(Rate_Table,Tables!$B$5,Z$5)</f>
        <v>5.7999999999999996E-3</v>
      </c>
      <c r="AB11" s="142">
        <f>INDEX(MAC_Table,Tables!$B$24,AB$5)</f>
        <v>1.23</v>
      </c>
      <c r="AC11" s="142">
        <f>INDEX(MAC_Table,Tables!$B$24,AC$5)</f>
        <v>1.5</v>
      </c>
      <c r="AD11" s="142">
        <f>INDEX(MAC_Table,Tables!$B$24,AD$5)</f>
        <v>0</v>
      </c>
      <c r="AE11" s="142">
        <f>INDEX(MAC_Table,Tables!$B$24,AE$5)</f>
        <v>8.0000000000000002E-3</v>
      </c>
      <c r="AF11" s="142">
        <f>INDEX(MAC_Table,Tables!$B$24,AF$5)</f>
        <v>5.0000000000000001E-3</v>
      </c>
      <c r="AG11" s="142">
        <f>INDEX(MAC_Table,Tables!$B$24,AG$5)</f>
        <v>0</v>
      </c>
      <c r="AI11" s="34">
        <f>INDEX(Rate_Table,Tables!$B$5,AI$5)</f>
        <v>1.7000000000000001E-3</v>
      </c>
      <c r="AJ11" s="34">
        <f>INDEX(Rate_Table,Tables!$B$5,AJ$5)</f>
        <v>5.9999999999999995E-4</v>
      </c>
    </row>
    <row r="12" spans="1:39">
      <c r="A12" s="34" t="s">
        <v>56</v>
      </c>
      <c r="B12" s="36" t="s">
        <v>42</v>
      </c>
      <c r="C12" s="34">
        <f>INDEX(Rate_Table,Tables!$B$5,C$5)</f>
        <v>0</v>
      </c>
      <c r="D12" s="34">
        <f>INDEX(Rate_Table,Tables!$B$5,D$5)</f>
        <v>0</v>
      </c>
      <c r="E12" s="34">
        <f>INDEX(Rate_Table,Tables!$B$5,E$5)</f>
        <v>0</v>
      </c>
      <c r="F12" s="34">
        <f>INDEX(Rate_Table,Tables!$B$5,F$5)</f>
        <v>0</v>
      </c>
      <c r="G12" s="34">
        <f>INDEX(Rate_Table,Tables!$B$5,G$5)</f>
        <v>0</v>
      </c>
      <c r="H12" s="34">
        <f>INDEX(Rate_Table,Tables!$B$5,H$5)</f>
        <v>0</v>
      </c>
      <c r="I12" s="34">
        <f>INDEX(Rate_Table,Tables!$B$5,I$5)</f>
        <v>0</v>
      </c>
      <c r="J12" s="34">
        <f>INDEX(Rate_Table,Tables!$B$5,J$5)</f>
        <v>0</v>
      </c>
      <c r="K12" s="34">
        <f>INDEX(Rate_Table,Tables!$B$5,K$5)</f>
        <v>5.86</v>
      </c>
      <c r="L12" s="34">
        <f>INDEX(Rate_Table,Tables!$B$5,L$5)</f>
        <v>11.09</v>
      </c>
      <c r="M12" s="34">
        <f>INDEX(Rate_Table,Tables!$B$5,M$5)</f>
        <v>10.94</v>
      </c>
      <c r="N12" s="34">
        <f>INDEX(Rate_Table,Tables!$B$5,N$5)</f>
        <v>0</v>
      </c>
      <c r="O12" s="34">
        <f>INDEX(Rate_Table,Tables!$B$5,O$5)</f>
        <v>8.14</v>
      </c>
      <c r="P12" s="34">
        <f>INDEX(Rate_Table,Tables!$B$5,P$5)</f>
        <v>3.54</v>
      </c>
      <c r="R12" s="34">
        <f>INDEX(Rate_Table,Tables!$B$5,R$5)</f>
        <v>0</v>
      </c>
      <c r="S12" s="34">
        <f>INDEX(Rate_Table,Tables!$B$5,S$5)</f>
        <v>0</v>
      </c>
      <c r="T12" s="34">
        <f>INDEX(Rate_Table,Tables!$B$5,T$5)</f>
        <v>0</v>
      </c>
      <c r="U12" s="34">
        <f>INDEX(Rate_Table,Tables!$B$5,U$5)</f>
        <v>0</v>
      </c>
      <c r="V12" s="58">
        <f>INDEX(Rate_Table,Tables!$B$5,V$5)</f>
        <v>0</v>
      </c>
      <c r="W12" s="34">
        <f>INDEX(Rate_Table,Tables!$B$5,W$5)</f>
        <v>5.7999999999999996E-3</v>
      </c>
      <c r="X12" s="34">
        <f>INDEX(Rate_Table,Tables!$B$5,X$5)</f>
        <v>5.7999999999999996E-3</v>
      </c>
      <c r="Y12" s="34">
        <f>INDEX(Rate_Table,Tables!$B$5,Y$5)</f>
        <v>5.7999999999999996E-3</v>
      </c>
      <c r="Z12" s="34">
        <f>INDEX(Rate_Table,Tables!$B$5,Z$5)</f>
        <v>5.7999999999999996E-3</v>
      </c>
      <c r="AB12" s="142">
        <f>INDEX(MAC_Table,Tables!$B$24,AB$5)</f>
        <v>1.23</v>
      </c>
      <c r="AC12" s="142">
        <f>INDEX(MAC_Table,Tables!$B$24,AC$5)</f>
        <v>1.5</v>
      </c>
      <c r="AD12" s="142">
        <f>INDEX(MAC_Table,Tables!$B$24,AD$5)</f>
        <v>0</v>
      </c>
      <c r="AE12" s="142">
        <f>INDEX(MAC_Table,Tables!$B$24,AE$5)</f>
        <v>8.0000000000000002E-3</v>
      </c>
      <c r="AF12" s="142">
        <f>INDEX(MAC_Table,Tables!$B$24,AF$5)</f>
        <v>5.0000000000000001E-3</v>
      </c>
      <c r="AG12" s="142">
        <f>INDEX(MAC_Table,Tables!$B$24,AG$5)</f>
        <v>0</v>
      </c>
      <c r="AI12" s="34">
        <f>INDEX(Rate_Table,Tables!$B$5,AI$5)</f>
        <v>1.7000000000000001E-3</v>
      </c>
      <c r="AJ12" s="34">
        <f>INDEX(Rate_Table,Tables!$B$5,AJ$5)</f>
        <v>5.9999999999999995E-4</v>
      </c>
    </row>
    <row r="13" spans="1:39">
      <c r="A13" s="34" t="s">
        <v>56</v>
      </c>
      <c r="B13" s="37" t="s">
        <v>43</v>
      </c>
      <c r="C13" s="34">
        <f>INDEX(Rate_Table,Tables!$B$5,C$5)</f>
        <v>0</v>
      </c>
      <c r="D13" s="34">
        <f>INDEX(Rate_Table,Tables!$B$5,D$5)</f>
        <v>0</v>
      </c>
      <c r="E13" s="34">
        <f>INDEX(Rate_Table,Tables!$B$5,E$5)</f>
        <v>0</v>
      </c>
      <c r="F13" s="34">
        <f>INDEX(Rate_Table,Tables!$B$5,F$5)</f>
        <v>0</v>
      </c>
      <c r="G13" s="34">
        <f>INDEX(Rate_Table,Tables!$B$5,G$5)</f>
        <v>0</v>
      </c>
      <c r="H13" s="34">
        <f>INDEX(Rate_Table,Tables!$B$5,H$5)</f>
        <v>0</v>
      </c>
      <c r="I13" s="34">
        <f>INDEX(Rate_Table,Tables!$B$5,I$5)</f>
        <v>0</v>
      </c>
      <c r="J13" s="34">
        <f>INDEX(Rate_Table,Tables!$B$5,J$5)</f>
        <v>0</v>
      </c>
      <c r="K13" s="34">
        <f>INDEX(Rate_Table,Tables!$B$5,K$5)</f>
        <v>5.86</v>
      </c>
      <c r="L13" s="34">
        <f>INDEX(Rate_Table,Tables!$B$5,L$5)</f>
        <v>11.09</v>
      </c>
      <c r="M13" s="34">
        <f>INDEX(Rate_Table,Tables!$B$5,M$5)</f>
        <v>10.94</v>
      </c>
      <c r="N13" s="34">
        <f>INDEX(Rate_Table,Tables!$B$5,N$5)</f>
        <v>0</v>
      </c>
      <c r="O13" s="34">
        <f>INDEX(Rate_Table,Tables!$B$5,O$5)</f>
        <v>8.14</v>
      </c>
      <c r="P13" s="34">
        <f>INDEX(Rate_Table,Tables!$B$5,P$5)</f>
        <v>3.54</v>
      </c>
      <c r="R13" s="34">
        <f>INDEX(Rate_Table,Tables!$B$5,R$5)</f>
        <v>0</v>
      </c>
      <c r="S13" s="34">
        <f>INDEX(Rate_Table,Tables!$B$5,S$5)</f>
        <v>0</v>
      </c>
      <c r="T13" s="34">
        <f>INDEX(Rate_Table,Tables!$B$5,T$5)</f>
        <v>0</v>
      </c>
      <c r="U13" s="34">
        <f>INDEX(Rate_Table,Tables!$B$5,U$5)</f>
        <v>0</v>
      </c>
      <c r="V13" s="58">
        <f>INDEX(Rate_Table,Tables!$B$5,V$5)</f>
        <v>0</v>
      </c>
      <c r="W13" s="34">
        <f>INDEX(Rate_Table,Tables!$B$5,W$5)</f>
        <v>5.7999999999999996E-3</v>
      </c>
      <c r="X13" s="34">
        <f>INDEX(Rate_Table,Tables!$B$5,X$5)</f>
        <v>5.7999999999999996E-3</v>
      </c>
      <c r="Y13" s="34">
        <f>INDEX(Rate_Table,Tables!$B$5,Y$5)</f>
        <v>5.7999999999999996E-3</v>
      </c>
      <c r="Z13" s="34">
        <f>INDEX(Rate_Table,Tables!$B$5,Z$5)</f>
        <v>5.7999999999999996E-3</v>
      </c>
      <c r="AB13" s="142">
        <f>INDEX(MAC_Table,Tables!$B$24,AB$5)</f>
        <v>1.23</v>
      </c>
      <c r="AC13" s="142">
        <f>INDEX(MAC_Table,Tables!$B$24,AC$5)</f>
        <v>1.5</v>
      </c>
      <c r="AD13" s="142">
        <f>INDEX(MAC_Table,Tables!$B$24,AD$5)</f>
        <v>0</v>
      </c>
      <c r="AE13" s="142">
        <f>INDEX(MAC_Table,Tables!$B$24,AE$5)</f>
        <v>8.0000000000000002E-3</v>
      </c>
      <c r="AF13" s="142">
        <f>INDEX(MAC_Table,Tables!$B$24,AF$5)</f>
        <v>5.0000000000000001E-3</v>
      </c>
      <c r="AG13" s="142">
        <f>INDEX(MAC_Table,Tables!$B$24,AG$5)</f>
        <v>0</v>
      </c>
      <c r="AI13" s="34">
        <f>INDEX(Rate_Table,Tables!$B$5,AI$5)</f>
        <v>1.7000000000000001E-3</v>
      </c>
      <c r="AJ13" s="34">
        <f>INDEX(Rate_Table,Tables!$B$5,AJ$5)</f>
        <v>5.9999999999999995E-4</v>
      </c>
    </row>
    <row r="14" spans="1:39">
      <c r="A14" s="34" t="s">
        <v>56</v>
      </c>
      <c r="B14" s="36" t="s">
        <v>44</v>
      </c>
      <c r="C14" s="34">
        <f>INDEX(Rate_Table,Tables!$B$5,C$5)</f>
        <v>0</v>
      </c>
      <c r="D14" s="34">
        <f>INDEX(Rate_Table,Tables!$B$5,D$5)</f>
        <v>0</v>
      </c>
      <c r="E14" s="34">
        <f>INDEX(Rate_Table,Tables!$B$5,E$5)</f>
        <v>0</v>
      </c>
      <c r="F14" s="34">
        <f>INDEX(Rate_Table,Tables!$B$5,F$5)</f>
        <v>0</v>
      </c>
      <c r="G14" s="34">
        <f>INDEX(Rate_Table,Tables!$B$5,G$5)</f>
        <v>0</v>
      </c>
      <c r="H14" s="34">
        <f>INDEX(Rate_Table,Tables!$B$5,H$5)</f>
        <v>0</v>
      </c>
      <c r="I14" s="34">
        <f>INDEX(Rate_Table,Tables!$B$5,I$5)</f>
        <v>0</v>
      </c>
      <c r="J14" s="34">
        <f>INDEX(Rate_Table,Tables!$B$5,J$5)</f>
        <v>0</v>
      </c>
      <c r="K14" s="34">
        <f>INDEX(Rate_Table,Tables!$B$5,K$5)</f>
        <v>5.86</v>
      </c>
      <c r="L14" s="34">
        <f>INDEX(Rate_Table,Tables!$B$5,L$5)</f>
        <v>11.09</v>
      </c>
      <c r="M14" s="34">
        <f>INDEX(Rate_Table,Tables!$B$5,M$5)</f>
        <v>10.94</v>
      </c>
      <c r="N14" s="34">
        <f>INDEX(Rate_Table,Tables!$B$5,N$5)</f>
        <v>0</v>
      </c>
      <c r="O14" s="34">
        <f>INDEX(Rate_Table,Tables!$B$5,O$5)</f>
        <v>8.14</v>
      </c>
      <c r="P14" s="34">
        <f>INDEX(Rate_Table,Tables!$B$5,P$5)</f>
        <v>3.54</v>
      </c>
      <c r="R14" s="34">
        <f>INDEX(Rate_Table,Tables!$B$5,R$5)</f>
        <v>0</v>
      </c>
      <c r="S14" s="34">
        <f>INDEX(Rate_Table,Tables!$B$5,S$5)</f>
        <v>0</v>
      </c>
      <c r="T14" s="34">
        <f>INDEX(Rate_Table,Tables!$B$5,T$5)</f>
        <v>0</v>
      </c>
      <c r="U14" s="34">
        <f>INDEX(Rate_Table,Tables!$B$5,U$5)</f>
        <v>0</v>
      </c>
      <c r="V14" s="58">
        <f>INDEX(Rate_Table,Tables!$B$5,V$5)</f>
        <v>0</v>
      </c>
      <c r="W14" s="34">
        <f>INDEX(Rate_Table,Tables!$B$5,W$5)</f>
        <v>5.7999999999999996E-3</v>
      </c>
      <c r="X14" s="34">
        <f>INDEX(Rate_Table,Tables!$B$5,X$5)</f>
        <v>5.7999999999999996E-3</v>
      </c>
      <c r="Y14" s="34">
        <f>INDEX(Rate_Table,Tables!$B$5,Y$5)</f>
        <v>5.7999999999999996E-3</v>
      </c>
      <c r="Z14" s="34">
        <f>INDEX(Rate_Table,Tables!$B$5,Z$5)</f>
        <v>5.7999999999999996E-3</v>
      </c>
      <c r="AB14" s="142">
        <f>INDEX(MAC_Table,Tables!$B$24,AB$5)</f>
        <v>1.23</v>
      </c>
      <c r="AC14" s="142">
        <f>INDEX(MAC_Table,Tables!$B$24,AC$5)</f>
        <v>1.5</v>
      </c>
      <c r="AD14" s="142">
        <f>INDEX(MAC_Table,Tables!$B$24,AD$5)</f>
        <v>0</v>
      </c>
      <c r="AE14" s="142">
        <f>INDEX(MAC_Table,Tables!$B$24,AE$5)</f>
        <v>8.0000000000000002E-3</v>
      </c>
      <c r="AF14" s="142">
        <f>INDEX(MAC_Table,Tables!$B$24,AF$5)</f>
        <v>5.0000000000000001E-3</v>
      </c>
      <c r="AG14" s="142">
        <f>INDEX(MAC_Table,Tables!$B$24,AG$5)</f>
        <v>0</v>
      </c>
      <c r="AI14" s="34">
        <f>INDEX(Rate_Table,Tables!$B$5,AI$5)</f>
        <v>1.7000000000000001E-3</v>
      </c>
      <c r="AJ14" s="34">
        <f>INDEX(Rate_Table,Tables!$B$5,AJ$5)</f>
        <v>5.9999999999999995E-4</v>
      </c>
    </row>
    <row r="15" spans="1:39">
      <c r="A15" s="34" t="s">
        <v>55</v>
      </c>
      <c r="B15" s="37" t="s">
        <v>45</v>
      </c>
      <c r="C15" s="34">
        <f>INDEX(Rate_Table,Tables!$B$5,C$5)</f>
        <v>0</v>
      </c>
      <c r="D15" s="34">
        <f>INDEX(Rate_Table,Tables!$B$5,D$5)</f>
        <v>0</v>
      </c>
      <c r="E15" s="34">
        <f>INDEX(Rate_Table,Tables!$B$5,E$5)</f>
        <v>0</v>
      </c>
      <c r="F15" s="34">
        <f>INDEX(Rate_Table,Tables!$B$5,F$5)</f>
        <v>0</v>
      </c>
      <c r="G15" s="34">
        <f>INDEX(Rate_Table,Tables!$B$5,G$5)</f>
        <v>0</v>
      </c>
      <c r="H15" s="34">
        <f>INDEX(Rate_Table,Tables!$B$5,H$5)</f>
        <v>0</v>
      </c>
      <c r="I15" s="34">
        <f>INDEX(Rate_Table,Tables!$B$5,I$5)</f>
        <v>0</v>
      </c>
      <c r="J15" s="34">
        <f>INDEX(Rate_Table,Tables!$B$5,J$5)</f>
        <v>0</v>
      </c>
      <c r="K15" s="34">
        <f>INDEX(Rate_Table,Tables!$B$5,K$5)</f>
        <v>5.86</v>
      </c>
      <c r="L15" s="34">
        <f>INDEX(Rate_Table,Tables!$B$5,L$5)</f>
        <v>11.09</v>
      </c>
      <c r="M15" s="34">
        <f>INDEX(Rate_Table,Tables!$B$5,M$5)</f>
        <v>10.94</v>
      </c>
      <c r="N15" s="34">
        <f>INDEX(Rate_Table,Tables!$B$5,N$5)</f>
        <v>0</v>
      </c>
      <c r="O15" s="34">
        <f>INDEX(Rate_Table,Tables!$B$5,O$5)</f>
        <v>8.14</v>
      </c>
      <c r="P15" s="34">
        <f>INDEX(Rate_Table,Tables!$B$5,P$5)</f>
        <v>3.54</v>
      </c>
      <c r="R15" s="34">
        <f>INDEX(Rate_Table,Tables!$B$5,R$5)</f>
        <v>0</v>
      </c>
      <c r="S15" s="34">
        <f>INDEX(Rate_Table,Tables!$B$5,S$5)</f>
        <v>0</v>
      </c>
      <c r="T15" s="34">
        <f>INDEX(Rate_Table,Tables!$B$5,T$5)</f>
        <v>0</v>
      </c>
      <c r="U15" s="34">
        <f>INDEX(Rate_Table,Tables!$B$5,U$5)</f>
        <v>0</v>
      </c>
      <c r="V15" s="58">
        <f>INDEX(Rate_Table,Tables!$B$5,V$5)</f>
        <v>0</v>
      </c>
      <c r="W15" s="34">
        <f>INDEX(Rate_Table,Tables!$B$5,W$5)</f>
        <v>5.7999999999999996E-3</v>
      </c>
      <c r="X15" s="34">
        <f>INDEX(Rate_Table,Tables!$B$5,X$5)</f>
        <v>5.7999999999999996E-3</v>
      </c>
      <c r="Y15" s="34">
        <f>INDEX(Rate_Table,Tables!$B$5,Y$5)</f>
        <v>5.7999999999999996E-3</v>
      </c>
      <c r="Z15" s="34">
        <f>INDEX(Rate_Table,Tables!$B$5,Z$5)</f>
        <v>5.7999999999999996E-3</v>
      </c>
      <c r="AB15" s="390"/>
      <c r="AC15" s="142">
        <f>INDEX(MAC_Table,Tables!$B$24,AC$5)</f>
        <v>1.5</v>
      </c>
      <c r="AD15" s="142">
        <f>INDEX(MAC_Table,Tables!$B$24,AD$5)</f>
        <v>0</v>
      </c>
      <c r="AE15" s="142">
        <f>INDEX(MAC_Table,Tables!$B$24,AE$5)</f>
        <v>8.0000000000000002E-3</v>
      </c>
      <c r="AF15" s="142">
        <f>INDEX(MAC_Table,Tables!$B$24,AF$5)</f>
        <v>5.0000000000000001E-3</v>
      </c>
      <c r="AG15" s="142">
        <f>INDEX(MAC_Table,Tables!$B$24,AG$5)</f>
        <v>0</v>
      </c>
      <c r="AI15" s="34">
        <f>INDEX(Rate_Table,Tables!$B$5,AI$5)</f>
        <v>1.7000000000000001E-3</v>
      </c>
      <c r="AJ15" s="34">
        <f>INDEX(Rate_Table,Tables!$B$5,AJ$5)</f>
        <v>5.9999999999999995E-4</v>
      </c>
    </row>
    <row r="16" spans="1:39">
      <c r="A16" s="34" t="s">
        <v>55</v>
      </c>
      <c r="B16" s="36" t="s">
        <v>46</v>
      </c>
      <c r="C16" s="34">
        <f>INDEX(Rate_Table,Tables!$B$5,C$5)</f>
        <v>0</v>
      </c>
      <c r="D16" s="34">
        <f>INDEX(Rate_Table,Tables!$B$5,D$5)</f>
        <v>0</v>
      </c>
      <c r="E16" s="34">
        <f>INDEX(Rate_Table,Tables!$B$5,E$5)</f>
        <v>0</v>
      </c>
      <c r="F16" s="34">
        <f>INDEX(Rate_Table,Tables!$B$5,F$5)</f>
        <v>0</v>
      </c>
      <c r="G16" s="34">
        <f>INDEX(Rate_Table,Tables!$B$5,G$5)</f>
        <v>0</v>
      </c>
      <c r="H16" s="34">
        <f>INDEX(Rate_Table,Tables!$B$5,H$5)</f>
        <v>0</v>
      </c>
      <c r="I16" s="34">
        <f>INDEX(Rate_Table,Tables!$B$5,I$5)</f>
        <v>0</v>
      </c>
      <c r="J16" s="34">
        <f>INDEX(Rate_Table,Tables!$B$5,J$5)</f>
        <v>0</v>
      </c>
      <c r="K16" s="34">
        <f>INDEX(Rate_Table,Tables!$B$5,K$5)</f>
        <v>5.86</v>
      </c>
      <c r="L16" s="34">
        <f>INDEX(Rate_Table,Tables!$B$5,L$5)</f>
        <v>11.09</v>
      </c>
      <c r="M16" s="34">
        <f>INDEX(Rate_Table,Tables!$B$5,M$5)</f>
        <v>10.94</v>
      </c>
      <c r="N16" s="34">
        <f>INDEX(Rate_Table,Tables!$B$5,N$5)</f>
        <v>0</v>
      </c>
      <c r="O16" s="34">
        <f>INDEX(Rate_Table,Tables!$B$5,O$5)</f>
        <v>8.14</v>
      </c>
      <c r="P16" s="34">
        <f>INDEX(Rate_Table,Tables!$B$5,P$5)</f>
        <v>3.54</v>
      </c>
      <c r="R16" s="34">
        <f>INDEX(Rate_Table,Tables!$B$5,R$5)</f>
        <v>0</v>
      </c>
      <c r="S16" s="34">
        <f>INDEX(Rate_Table,Tables!$B$5,S$5)</f>
        <v>0</v>
      </c>
      <c r="T16" s="34">
        <f>INDEX(Rate_Table,Tables!$B$5,T$5)</f>
        <v>0</v>
      </c>
      <c r="U16" s="34">
        <f>INDEX(Rate_Table,Tables!$B$5,U$5)</f>
        <v>0</v>
      </c>
      <c r="V16" s="58">
        <f>INDEX(Rate_Table,Tables!$B$5,V$5)</f>
        <v>0</v>
      </c>
      <c r="W16" s="34">
        <f>INDEX(Rate_Table,Tables!$B$5,W$5)</f>
        <v>5.7999999999999996E-3</v>
      </c>
      <c r="X16" s="34">
        <f>INDEX(Rate_Table,Tables!$B$5,X$5)</f>
        <v>5.7999999999999996E-3</v>
      </c>
      <c r="Y16" s="34">
        <f>INDEX(Rate_Table,Tables!$B$5,Y$5)</f>
        <v>5.7999999999999996E-3</v>
      </c>
      <c r="Z16" s="34">
        <f>INDEX(Rate_Table,Tables!$B$5,Z$5)</f>
        <v>5.7999999999999996E-3</v>
      </c>
      <c r="AB16" s="391"/>
      <c r="AC16" s="142">
        <f>INDEX(MAC_Table,Tables!$B$24,AC$5)</f>
        <v>1.5</v>
      </c>
      <c r="AD16" s="142">
        <f>INDEX(MAC_Table,Tables!$B$24,AD$5)</f>
        <v>0</v>
      </c>
      <c r="AE16" s="142">
        <f>INDEX(MAC_Table,Tables!$B$24,AE$5)</f>
        <v>8.0000000000000002E-3</v>
      </c>
      <c r="AF16" s="142">
        <f>INDEX(MAC_Table,Tables!$B$24,AF$5)</f>
        <v>5.0000000000000001E-3</v>
      </c>
      <c r="AG16" s="142">
        <f>INDEX(MAC_Table,Tables!$B$24,AG$5)</f>
        <v>0</v>
      </c>
      <c r="AI16" s="34">
        <f>INDEX(Rate_Table,Tables!$B$5,AI$5)</f>
        <v>1.7000000000000001E-3</v>
      </c>
      <c r="AJ16" s="34">
        <f>INDEX(Rate_Table,Tables!$B$5,AJ$5)</f>
        <v>5.9999999999999995E-4</v>
      </c>
    </row>
    <row r="17" spans="1:36">
      <c r="A17" s="34" t="s">
        <v>55</v>
      </c>
      <c r="B17" s="37" t="s">
        <v>47</v>
      </c>
      <c r="C17" s="34">
        <f>INDEX(Rate_Table,Tables!$B$5,C$5)</f>
        <v>0</v>
      </c>
      <c r="D17" s="34">
        <f>INDEX(Rate_Table,Tables!$B$5,D$5)</f>
        <v>0</v>
      </c>
      <c r="E17" s="34">
        <f>INDEX(Rate_Table,Tables!$B$5,E$5)</f>
        <v>0</v>
      </c>
      <c r="F17" s="34">
        <f>INDEX(Rate_Table,Tables!$B$5,F$5)</f>
        <v>0</v>
      </c>
      <c r="G17" s="34">
        <f>INDEX(Rate_Table,Tables!$B$5,G$5)</f>
        <v>0</v>
      </c>
      <c r="H17" s="34">
        <f>INDEX(Rate_Table,Tables!$B$5,H$5)</f>
        <v>0</v>
      </c>
      <c r="I17" s="34">
        <f>INDEX(Rate_Table,Tables!$B$5,I$5)</f>
        <v>0</v>
      </c>
      <c r="J17" s="34">
        <f>INDEX(Rate_Table,Tables!$B$5,J$5)</f>
        <v>0</v>
      </c>
      <c r="K17" s="34">
        <f>INDEX(Rate_Table,Tables!$B$5,K$5)</f>
        <v>5.86</v>
      </c>
      <c r="L17" s="34">
        <f>INDEX(Rate_Table,Tables!$B$5,L$5)</f>
        <v>11.09</v>
      </c>
      <c r="M17" s="34">
        <f>INDEX(Rate_Table,Tables!$B$5,M$5)</f>
        <v>10.94</v>
      </c>
      <c r="N17" s="34">
        <f>INDEX(Rate_Table,Tables!$B$5,N$5)</f>
        <v>0</v>
      </c>
      <c r="O17" s="34">
        <f>INDEX(Rate_Table,Tables!$B$5,O$5)</f>
        <v>8.14</v>
      </c>
      <c r="P17" s="34">
        <f>INDEX(Rate_Table,Tables!$B$5,P$5)</f>
        <v>3.54</v>
      </c>
      <c r="R17" s="34">
        <f>INDEX(Rate_Table,Tables!$B$5,R$5)</f>
        <v>0</v>
      </c>
      <c r="S17" s="34">
        <f>INDEX(Rate_Table,Tables!$B$5,S$5)</f>
        <v>0</v>
      </c>
      <c r="T17" s="34">
        <f>INDEX(Rate_Table,Tables!$B$5,T$5)</f>
        <v>0</v>
      </c>
      <c r="U17" s="34">
        <f>INDEX(Rate_Table,Tables!$B$5,U$5)</f>
        <v>0</v>
      </c>
      <c r="V17" s="58">
        <f>INDEX(Rate_Table,Tables!$B$5,V$5)</f>
        <v>0</v>
      </c>
      <c r="W17" s="34">
        <f>INDEX(Rate_Table,Tables!$B$5,W$5)</f>
        <v>5.7999999999999996E-3</v>
      </c>
      <c r="X17" s="34">
        <f>INDEX(Rate_Table,Tables!$B$5,X$5)</f>
        <v>5.7999999999999996E-3</v>
      </c>
      <c r="Y17" s="34">
        <f>INDEX(Rate_Table,Tables!$B$5,Y$5)</f>
        <v>5.7999999999999996E-3</v>
      </c>
      <c r="Z17" s="34">
        <f>INDEX(Rate_Table,Tables!$B$5,Z$5)</f>
        <v>5.7999999999999996E-3</v>
      </c>
      <c r="AB17" s="392"/>
      <c r="AC17" s="142">
        <f>INDEX(MAC_Table,Tables!$B$24,AC$5)</f>
        <v>1.5</v>
      </c>
      <c r="AD17" s="142">
        <f>INDEX(MAC_Table,Tables!$B$24,AD$5)</f>
        <v>0</v>
      </c>
      <c r="AE17" s="142">
        <f>INDEX(MAC_Table,Tables!$B$24,AE$5)</f>
        <v>8.0000000000000002E-3</v>
      </c>
      <c r="AF17" s="142">
        <f>INDEX(MAC_Table,Tables!$B$24,AF$5)</f>
        <v>5.0000000000000001E-3</v>
      </c>
      <c r="AG17" s="142">
        <f>INDEX(MAC_Table,Tables!$B$24,AG$5)</f>
        <v>0</v>
      </c>
      <c r="AI17" s="34">
        <f>INDEX(Rate_Table,Tables!$B$5,AI$5)</f>
        <v>1.7000000000000001E-3</v>
      </c>
      <c r="AJ17" s="34">
        <f>INDEX(Rate_Table,Tables!$B$5,AJ$5)</f>
        <v>5.9999999999999995E-4</v>
      </c>
    </row>
    <row r="18" spans="1:36" s="32" customFormat="1" ht="13">
      <c r="A18" s="34"/>
      <c r="B18" s="35"/>
      <c r="C18" s="21"/>
      <c r="D18" s="21"/>
      <c r="E18" s="21"/>
      <c r="F18" s="21"/>
      <c r="G18" s="21"/>
      <c r="H18" s="21"/>
      <c r="I18" s="21"/>
      <c r="J18" s="21"/>
      <c r="K18" s="40"/>
      <c r="L18" s="40"/>
      <c r="M18" s="40"/>
      <c r="N18" s="40"/>
      <c r="O18" s="40"/>
      <c r="P18" s="40"/>
      <c r="Q18" s="40"/>
      <c r="R18" s="21"/>
      <c r="S18" s="21"/>
      <c r="T18" s="21"/>
      <c r="U18" s="21"/>
      <c r="V18" s="40"/>
      <c r="W18" s="40"/>
      <c r="X18" s="40"/>
      <c r="Y18" s="40"/>
      <c r="Z18" s="40"/>
      <c r="AE18" s="34"/>
      <c r="AF18" s="34"/>
    </row>
    <row r="19" spans="1:36" ht="13">
      <c r="B19" s="35" t="s">
        <v>357</v>
      </c>
      <c r="C19" s="25"/>
      <c r="D19" s="25"/>
      <c r="E19" s="25"/>
      <c r="F19" s="25"/>
      <c r="G19" s="25"/>
      <c r="H19" s="25"/>
      <c r="I19" s="25"/>
      <c r="J19" s="25"/>
      <c r="K19" s="25"/>
      <c r="L19" s="25"/>
      <c r="M19" s="25"/>
      <c r="N19" s="25"/>
      <c r="O19" s="25"/>
      <c r="P19" s="25"/>
      <c r="R19" s="106" t="s">
        <v>358</v>
      </c>
      <c r="S19" s="107"/>
      <c r="T19" s="107"/>
      <c r="U19" s="107"/>
      <c r="V19" s="107"/>
      <c r="W19" s="107"/>
      <c r="X19" s="107"/>
      <c r="Y19" s="107"/>
      <c r="Z19" s="107"/>
      <c r="AB19" s="217" t="s">
        <v>359</v>
      </c>
      <c r="AE19" s="116" t="s">
        <v>386</v>
      </c>
      <c r="AI19" s="101" t="s">
        <v>212</v>
      </c>
    </row>
    <row r="20" spans="1:36">
      <c r="A20" s="34" t="s">
        <v>55</v>
      </c>
      <c r="B20" s="36" t="s">
        <v>37</v>
      </c>
      <c r="C20" s="23"/>
      <c r="D20" s="23"/>
      <c r="E20" s="23"/>
      <c r="F20" s="23"/>
      <c r="G20" s="88">
        <f>'Inputs &amp; Outputs'!$F11</f>
        <v>470</v>
      </c>
      <c r="H20" s="88">
        <f>'Inputs &amp; Outputs'!$F11</f>
        <v>470</v>
      </c>
      <c r="I20" s="88">
        <f>'Inputs &amp; Outputs'!$F11</f>
        <v>470</v>
      </c>
      <c r="J20" s="88">
        <f>'Inputs &amp; Outputs'!$F11</f>
        <v>470</v>
      </c>
      <c r="K20" s="102"/>
      <c r="L20" s="23"/>
      <c r="M20" s="23"/>
      <c r="N20" s="88">
        <f>'Inputs &amp; Outputs'!$F11</f>
        <v>470</v>
      </c>
      <c r="O20" s="88">
        <f>'Inputs &amp; Outputs'!$G11</f>
        <v>470</v>
      </c>
      <c r="P20" s="88">
        <f>MAX('Inputs &amp; Outputs'!$F11,'Inputs &amp; Outputs'!G11)</f>
        <v>470</v>
      </c>
      <c r="Q20" s="41"/>
      <c r="R20" s="100">
        <f>'CHP &amp; Energy'!$G21</f>
        <v>152000</v>
      </c>
      <c r="S20" s="100">
        <f>'CHP &amp; Energy'!$G21</f>
        <v>152000</v>
      </c>
      <c r="T20" s="100">
        <f>'CHP &amp; Energy'!$G21</f>
        <v>152000</v>
      </c>
      <c r="U20" s="100">
        <f>'CHP &amp; Energy'!$G21</f>
        <v>152000</v>
      </c>
      <c r="V20" s="58">
        <f>'CHP &amp; Energy'!I21</f>
        <v>85000</v>
      </c>
      <c r="W20" s="59">
        <f>'CHP &amp; Energy'!E21</f>
        <v>0</v>
      </c>
      <c r="X20" s="59">
        <f>'CHP &amp; Energy'!K21</f>
        <v>67000</v>
      </c>
      <c r="Y20" s="59">
        <f>'CHP &amp; Energy'!E21</f>
        <v>0</v>
      </c>
      <c r="Z20" s="59">
        <f>'CHP &amp; Energy'!K21</f>
        <v>67000</v>
      </c>
      <c r="AB20" s="88">
        <f>N20</f>
        <v>470</v>
      </c>
      <c r="AC20" s="88">
        <f t="shared" ref="AB20:AC24" si="0">O20</f>
        <v>470</v>
      </c>
      <c r="AD20" s="88">
        <f>MAX('Inputs &amp; Outputs'!$F11,'Inputs &amp; Outputs'!V11)</f>
        <v>470</v>
      </c>
      <c r="AE20" s="59">
        <f>V20</f>
        <v>85000</v>
      </c>
      <c r="AF20" s="34">
        <f>X20</f>
        <v>67000</v>
      </c>
      <c r="AG20" s="41">
        <f>R20</f>
        <v>152000</v>
      </c>
      <c r="AI20" s="34">
        <f>'CHP &amp; Energy'!G21</f>
        <v>152000</v>
      </c>
      <c r="AJ20" s="34">
        <f>'CHP &amp; Energy'!G21</f>
        <v>152000</v>
      </c>
    </row>
    <row r="21" spans="1:36">
      <c r="A21" s="34" t="s">
        <v>55</v>
      </c>
      <c r="B21" s="37" t="s">
        <v>38</v>
      </c>
      <c r="C21" s="23"/>
      <c r="D21" s="23"/>
      <c r="E21" s="23"/>
      <c r="F21" s="23"/>
      <c r="G21" s="88">
        <f>'Inputs &amp; Outputs'!$F12</f>
        <v>470</v>
      </c>
      <c r="H21" s="88">
        <f>'Inputs &amp; Outputs'!$F12</f>
        <v>470</v>
      </c>
      <c r="I21" s="88">
        <f>'Inputs &amp; Outputs'!$F12</f>
        <v>470</v>
      </c>
      <c r="J21" s="88">
        <f>'Inputs &amp; Outputs'!$F12</f>
        <v>470</v>
      </c>
      <c r="K21" s="102"/>
      <c r="L21" s="23"/>
      <c r="M21" s="23"/>
      <c r="N21" s="88">
        <f>'Inputs &amp; Outputs'!$F12</f>
        <v>470</v>
      </c>
      <c r="O21" s="88">
        <f>'Inputs &amp; Outputs'!$G12</f>
        <v>470</v>
      </c>
      <c r="P21" s="88">
        <f>MAX('Inputs &amp; Outputs'!$F12,'Inputs &amp; Outputs'!G12)</f>
        <v>470</v>
      </c>
      <c r="Q21" s="41"/>
      <c r="R21" s="100">
        <f>'CHP &amp; Energy'!$G22</f>
        <v>152000</v>
      </c>
      <c r="S21" s="100">
        <f>'CHP &amp; Energy'!$G22</f>
        <v>152000</v>
      </c>
      <c r="T21" s="100">
        <f>'CHP &amp; Energy'!$G22</f>
        <v>152000</v>
      </c>
      <c r="U21" s="100">
        <f>'CHP &amp; Energy'!$G22</f>
        <v>152000</v>
      </c>
      <c r="V21" s="58">
        <f>'CHP &amp; Energy'!I22</f>
        <v>85000</v>
      </c>
      <c r="W21" s="59">
        <f>'CHP &amp; Energy'!E22</f>
        <v>0</v>
      </c>
      <c r="X21" s="59">
        <f>'CHP &amp; Energy'!K22</f>
        <v>67000</v>
      </c>
      <c r="Y21" s="59">
        <f>'CHP &amp; Energy'!E22</f>
        <v>0</v>
      </c>
      <c r="Z21" s="59">
        <f>'CHP &amp; Energy'!K22</f>
        <v>67000</v>
      </c>
      <c r="AB21" s="88">
        <f t="shared" si="0"/>
        <v>470</v>
      </c>
      <c r="AC21" s="88">
        <f t="shared" si="0"/>
        <v>470</v>
      </c>
      <c r="AD21" s="88">
        <f>MAX('Inputs &amp; Outputs'!$F12,'Inputs &amp; Outputs'!V12)</f>
        <v>470</v>
      </c>
      <c r="AE21" s="34">
        <f t="shared" ref="AE21:AE31" si="1">V21</f>
        <v>85000</v>
      </c>
      <c r="AF21" s="34">
        <f t="shared" ref="AF21:AF31" si="2">X21</f>
        <v>67000</v>
      </c>
      <c r="AG21" s="41">
        <f t="shared" ref="AG21:AG31" si="3">R21</f>
        <v>152000</v>
      </c>
      <c r="AI21" s="34">
        <f>'CHP &amp; Energy'!G22</f>
        <v>152000</v>
      </c>
      <c r="AJ21" s="34">
        <f>'CHP &amp; Energy'!G22</f>
        <v>152000</v>
      </c>
    </row>
    <row r="22" spans="1:36">
      <c r="A22" s="34" t="s">
        <v>55</v>
      </c>
      <c r="B22" s="36" t="s">
        <v>39</v>
      </c>
      <c r="C22" s="23"/>
      <c r="D22" s="23"/>
      <c r="E22" s="23"/>
      <c r="F22" s="23"/>
      <c r="G22" s="88">
        <f>'Inputs &amp; Outputs'!$F13</f>
        <v>470</v>
      </c>
      <c r="H22" s="88">
        <f>'Inputs &amp; Outputs'!$F13</f>
        <v>470</v>
      </c>
      <c r="I22" s="88">
        <f>'Inputs &amp; Outputs'!$F13</f>
        <v>470</v>
      </c>
      <c r="J22" s="88">
        <f>'Inputs &amp; Outputs'!$F13</f>
        <v>470</v>
      </c>
      <c r="K22" s="102"/>
      <c r="L22" s="23"/>
      <c r="M22" s="23"/>
      <c r="N22" s="88">
        <f>'Inputs &amp; Outputs'!$F13</f>
        <v>470</v>
      </c>
      <c r="O22" s="88">
        <f>'Inputs &amp; Outputs'!$G13</f>
        <v>470</v>
      </c>
      <c r="P22" s="88">
        <f>MAX('Inputs &amp; Outputs'!$F13,'Inputs &amp; Outputs'!G13)</f>
        <v>470</v>
      </c>
      <c r="Q22" s="41"/>
      <c r="R22" s="100">
        <f>'CHP &amp; Energy'!$G23</f>
        <v>152000</v>
      </c>
      <c r="S22" s="100">
        <f>'CHP &amp; Energy'!$G23</f>
        <v>152000</v>
      </c>
      <c r="T22" s="100">
        <f>'CHP &amp; Energy'!$G23</f>
        <v>152000</v>
      </c>
      <c r="U22" s="100">
        <f>'CHP &amp; Energy'!$G23</f>
        <v>152000</v>
      </c>
      <c r="V22" s="58">
        <f>'CHP &amp; Energy'!I23</f>
        <v>85000</v>
      </c>
      <c r="W22" s="59">
        <f>'CHP &amp; Energy'!E23</f>
        <v>0</v>
      </c>
      <c r="X22" s="59">
        <f>'CHP &amp; Energy'!K23</f>
        <v>67000</v>
      </c>
      <c r="Y22" s="59">
        <f>'CHP &amp; Energy'!E23</f>
        <v>0</v>
      </c>
      <c r="Z22" s="59">
        <f>'CHP &amp; Energy'!K23</f>
        <v>67000</v>
      </c>
      <c r="AB22" s="88">
        <f>N22</f>
        <v>470</v>
      </c>
      <c r="AC22" s="88">
        <f t="shared" si="0"/>
        <v>470</v>
      </c>
      <c r="AD22" s="88">
        <f>MAX('Inputs &amp; Outputs'!$F13,'Inputs &amp; Outputs'!V13)</f>
        <v>470</v>
      </c>
      <c r="AE22" s="34">
        <f t="shared" si="1"/>
        <v>85000</v>
      </c>
      <c r="AF22" s="34">
        <f t="shared" si="2"/>
        <v>67000</v>
      </c>
      <c r="AG22" s="41">
        <f t="shared" si="3"/>
        <v>152000</v>
      </c>
      <c r="AI22" s="34">
        <f>'CHP &amp; Energy'!G23</f>
        <v>152000</v>
      </c>
      <c r="AJ22" s="34">
        <f>'CHP &amp; Energy'!G23</f>
        <v>152000</v>
      </c>
    </row>
    <row r="23" spans="1:36">
      <c r="A23" s="34" t="s">
        <v>55</v>
      </c>
      <c r="B23" s="37" t="s">
        <v>40</v>
      </c>
      <c r="C23" s="23"/>
      <c r="D23" s="23"/>
      <c r="E23" s="23"/>
      <c r="F23" s="23"/>
      <c r="G23" s="88">
        <f>'Inputs &amp; Outputs'!$F14</f>
        <v>460</v>
      </c>
      <c r="H23" s="88">
        <f>'Inputs &amp; Outputs'!$F14</f>
        <v>460</v>
      </c>
      <c r="I23" s="88">
        <f>'Inputs &amp; Outputs'!$F14</f>
        <v>460</v>
      </c>
      <c r="J23" s="88">
        <f>'Inputs &amp; Outputs'!$F14</f>
        <v>460</v>
      </c>
      <c r="K23" s="102"/>
      <c r="L23" s="23"/>
      <c r="M23" s="23"/>
      <c r="N23" s="88">
        <f>'Inputs &amp; Outputs'!$F14</f>
        <v>460</v>
      </c>
      <c r="O23" s="88">
        <f>'Inputs &amp; Outputs'!$G14</f>
        <v>460</v>
      </c>
      <c r="P23" s="88">
        <f>MAX('Inputs &amp; Outputs'!$F14,'Inputs &amp; Outputs'!G14)</f>
        <v>460</v>
      </c>
      <c r="Q23" s="41"/>
      <c r="R23" s="100">
        <f>'CHP &amp; Energy'!$G24</f>
        <v>194000</v>
      </c>
      <c r="S23" s="100">
        <f>'CHP &amp; Energy'!$G24</f>
        <v>194000</v>
      </c>
      <c r="T23" s="100">
        <f>'CHP &amp; Energy'!$G24</f>
        <v>194000</v>
      </c>
      <c r="U23" s="100">
        <f>'CHP &amp; Energy'!$G24</f>
        <v>194000</v>
      </c>
      <c r="V23" s="58">
        <f>'CHP &amp; Energy'!I24</f>
        <v>144000</v>
      </c>
      <c r="W23" s="59">
        <f>'CHP &amp; Energy'!E24</f>
        <v>0</v>
      </c>
      <c r="X23" s="59">
        <f>'CHP &amp; Energy'!K24</f>
        <v>50000</v>
      </c>
      <c r="Y23" s="59">
        <f>'CHP &amp; Energy'!E24</f>
        <v>0</v>
      </c>
      <c r="Z23" s="59">
        <f>'CHP &amp; Energy'!K24</f>
        <v>50000</v>
      </c>
      <c r="AB23" s="88">
        <f t="shared" si="0"/>
        <v>460</v>
      </c>
      <c r="AC23" s="88">
        <f t="shared" si="0"/>
        <v>460</v>
      </c>
      <c r="AD23" s="88">
        <f>MAX('Inputs &amp; Outputs'!$F14,'Inputs &amp; Outputs'!V14)</f>
        <v>460</v>
      </c>
      <c r="AE23" s="34">
        <f t="shared" si="1"/>
        <v>144000</v>
      </c>
      <c r="AF23" s="34">
        <f t="shared" si="2"/>
        <v>50000</v>
      </c>
      <c r="AG23" s="41">
        <f t="shared" si="3"/>
        <v>194000</v>
      </c>
      <c r="AI23" s="34">
        <f>'CHP &amp; Energy'!G24</f>
        <v>194000</v>
      </c>
      <c r="AJ23" s="34">
        <f>'CHP &amp; Energy'!G24</f>
        <v>194000</v>
      </c>
    </row>
    <row r="24" spans="1:36">
      <c r="A24" s="34" t="s">
        <v>55</v>
      </c>
      <c r="B24" s="36" t="s">
        <v>7</v>
      </c>
      <c r="C24" s="23"/>
      <c r="D24" s="23"/>
      <c r="E24" s="23"/>
      <c r="F24" s="23"/>
      <c r="G24" s="88">
        <f>'Inputs &amp; Outputs'!$F15</f>
        <v>500</v>
      </c>
      <c r="H24" s="88">
        <f>'Inputs &amp; Outputs'!$F15</f>
        <v>500</v>
      </c>
      <c r="I24" s="88">
        <f>'Inputs &amp; Outputs'!$F15</f>
        <v>500</v>
      </c>
      <c r="J24" s="88">
        <f>'Inputs &amp; Outputs'!$F15</f>
        <v>500</v>
      </c>
      <c r="K24" s="102"/>
      <c r="L24" s="23"/>
      <c r="M24" s="23"/>
      <c r="N24" s="88">
        <f>'Inputs &amp; Outputs'!$F15</f>
        <v>500</v>
      </c>
      <c r="O24" s="88">
        <f>'Inputs &amp; Outputs'!$G15</f>
        <v>500</v>
      </c>
      <c r="P24" s="88">
        <f>MAX('Inputs &amp; Outputs'!$F15,'Inputs &amp; Outputs'!G15)</f>
        <v>500</v>
      </c>
      <c r="Q24" s="41"/>
      <c r="R24" s="100">
        <f>'CHP &amp; Energy'!$G25</f>
        <v>158000</v>
      </c>
      <c r="S24" s="100">
        <f>'CHP &amp; Energy'!$G25</f>
        <v>158000</v>
      </c>
      <c r="T24" s="100">
        <f>'CHP &amp; Energy'!$G25</f>
        <v>158000</v>
      </c>
      <c r="U24" s="100">
        <f>'CHP &amp; Energy'!$G25</f>
        <v>158000</v>
      </c>
      <c r="V24" s="58">
        <f>'CHP &amp; Energy'!I25</f>
        <v>108000</v>
      </c>
      <c r="W24" s="59">
        <f>'CHP &amp; Energy'!E25</f>
        <v>0</v>
      </c>
      <c r="X24" s="59">
        <f>'CHP &amp; Energy'!K25</f>
        <v>50000</v>
      </c>
      <c r="Y24" s="59">
        <f>'CHP &amp; Energy'!E25</f>
        <v>0</v>
      </c>
      <c r="Z24" s="59">
        <f>'CHP &amp; Energy'!K25</f>
        <v>50000</v>
      </c>
      <c r="AB24" s="88">
        <f t="shared" si="0"/>
        <v>500</v>
      </c>
      <c r="AC24" s="88">
        <f t="shared" si="0"/>
        <v>500</v>
      </c>
      <c r="AD24" s="88">
        <f>MAX('Inputs &amp; Outputs'!$F15,'Inputs &amp; Outputs'!V15)</f>
        <v>500</v>
      </c>
      <c r="AE24" s="34">
        <f t="shared" si="1"/>
        <v>108000</v>
      </c>
      <c r="AF24" s="34">
        <f t="shared" si="2"/>
        <v>50000</v>
      </c>
      <c r="AG24" s="41">
        <f t="shared" si="3"/>
        <v>158000</v>
      </c>
      <c r="AI24" s="34">
        <f>'CHP &amp; Energy'!G25</f>
        <v>158000</v>
      </c>
      <c r="AJ24" s="34">
        <f>'CHP &amp; Energy'!G25</f>
        <v>158000</v>
      </c>
    </row>
    <row r="25" spans="1:36">
      <c r="A25" s="34" t="s">
        <v>56</v>
      </c>
      <c r="B25" s="37" t="s">
        <v>41</v>
      </c>
      <c r="C25" s="89">
        <f>MAX('Inputs &amp; Outputs'!$F16,'Inputs &amp; Outputs'!$G16)</f>
        <v>501</v>
      </c>
      <c r="D25" s="89">
        <f>MAX('Inputs &amp; Outputs'!$F16,'Inputs &amp; Outputs'!$G16)</f>
        <v>501</v>
      </c>
      <c r="E25" s="89">
        <f>MAX('Inputs &amp; Outputs'!$F16,'Inputs &amp; Outputs'!$G16)</f>
        <v>501</v>
      </c>
      <c r="F25" s="89">
        <f>MAX('Inputs &amp; Outputs'!$F16,'Inputs &amp; Outputs'!$G16)</f>
        <v>501</v>
      </c>
      <c r="G25" s="23"/>
      <c r="H25" s="23"/>
      <c r="I25" s="23"/>
      <c r="J25" s="23"/>
      <c r="K25" s="103">
        <f>'Inputs &amp; Outputs'!$F16</f>
        <v>501</v>
      </c>
      <c r="L25" s="89">
        <f>'Inputs &amp; Outputs'!$G16</f>
        <v>501</v>
      </c>
      <c r="M25" s="89">
        <f>MAX('Inputs &amp; Outputs'!$F16,'Inputs &amp; Outputs'!G16)</f>
        <v>501</v>
      </c>
      <c r="N25" s="23"/>
      <c r="O25" s="23"/>
      <c r="P25" s="23"/>
      <c r="Q25" s="41"/>
      <c r="R25" s="100">
        <f>'CHP &amp; Energy'!$G26</f>
        <v>158000</v>
      </c>
      <c r="S25" s="100">
        <f>'CHP &amp; Energy'!$G26</f>
        <v>158000</v>
      </c>
      <c r="T25" s="100">
        <f>'CHP &amp; Energy'!$G26</f>
        <v>158000</v>
      </c>
      <c r="U25" s="100">
        <f>'CHP &amp; Energy'!$G26</f>
        <v>158000</v>
      </c>
      <c r="V25" s="58">
        <f>'CHP &amp; Energy'!I26</f>
        <v>108000</v>
      </c>
      <c r="W25" s="59">
        <f>'CHP &amp; Energy'!E26</f>
        <v>0</v>
      </c>
      <c r="X25" s="59">
        <f>'CHP &amp; Energy'!K26</f>
        <v>50000</v>
      </c>
      <c r="Y25" s="59">
        <f>'CHP &amp; Energy'!E26</f>
        <v>0</v>
      </c>
      <c r="Z25" s="59">
        <f>'CHP &amp; Energy'!K26</f>
        <v>50000</v>
      </c>
      <c r="AB25" s="89">
        <f t="shared" ref="AB25:AC28" si="4">K25</f>
        <v>501</v>
      </c>
      <c r="AC25" s="89">
        <f t="shared" si="4"/>
        <v>501</v>
      </c>
      <c r="AD25" s="89">
        <f>MAX('Inputs &amp; Outputs'!$F16,'Inputs &amp; Outputs'!V16)</f>
        <v>501</v>
      </c>
      <c r="AE25" s="34">
        <f t="shared" si="1"/>
        <v>108000</v>
      </c>
      <c r="AF25" s="34">
        <f t="shared" si="2"/>
        <v>50000</v>
      </c>
      <c r="AG25" s="41">
        <f t="shared" si="3"/>
        <v>158000</v>
      </c>
      <c r="AI25" s="34">
        <f>'CHP &amp; Energy'!G26</f>
        <v>158000</v>
      </c>
      <c r="AJ25" s="34">
        <f>'CHP &amp; Energy'!G26</f>
        <v>158000</v>
      </c>
    </row>
    <row r="26" spans="1:36">
      <c r="A26" s="34" t="s">
        <v>56</v>
      </c>
      <c r="B26" s="36" t="s">
        <v>42</v>
      </c>
      <c r="C26" s="89">
        <f>MAX('Inputs &amp; Outputs'!$F17,'Inputs &amp; Outputs'!$G17)</f>
        <v>1001</v>
      </c>
      <c r="D26" s="89">
        <f>MAX('Inputs &amp; Outputs'!$F17,'Inputs &amp; Outputs'!$G17)</f>
        <v>1001</v>
      </c>
      <c r="E26" s="89">
        <f>MAX('Inputs &amp; Outputs'!$F17,'Inputs &amp; Outputs'!$G17)</f>
        <v>1001</v>
      </c>
      <c r="F26" s="89">
        <f>MAX('Inputs &amp; Outputs'!$F17,'Inputs &amp; Outputs'!$G17)</f>
        <v>1001</v>
      </c>
      <c r="G26" s="23"/>
      <c r="H26" s="23"/>
      <c r="I26" s="23"/>
      <c r="J26" s="23"/>
      <c r="K26" s="103">
        <f>'Inputs &amp; Outputs'!$F17</f>
        <v>1001</v>
      </c>
      <c r="L26" s="89">
        <f>'Inputs &amp; Outputs'!$G17</f>
        <v>1001</v>
      </c>
      <c r="M26" s="89">
        <f>MAX('Inputs &amp; Outputs'!$F17,'Inputs &amp; Outputs'!G17)</f>
        <v>1001</v>
      </c>
      <c r="N26" s="23"/>
      <c r="O26" s="23"/>
      <c r="P26" s="23"/>
      <c r="Q26" s="41"/>
      <c r="R26" s="100">
        <f>'CHP &amp; Energy'!$G27</f>
        <v>158000</v>
      </c>
      <c r="S26" s="100">
        <f>'CHP &amp; Energy'!$G27</f>
        <v>158000</v>
      </c>
      <c r="T26" s="100">
        <f>'CHP &amp; Energy'!$G27</f>
        <v>158000</v>
      </c>
      <c r="U26" s="100">
        <f>'CHP &amp; Energy'!$G27</f>
        <v>158000</v>
      </c>
      <c r="V26" s="58">
        <f>'CHP &amp; Energy'!I27</f>
        <v>108000</v>
      </c>
      <c r="W26" s="59">
        <f>'CHP &amp; Energy'!E27</f>
        <v>0</v>
      </c>
      <c r="X26" s="59">
        <f>'CHP &amp; Energy'!K27</f>
        <v>50000</v>
      </c>
      <c r="Y26" s="59">
        <f>'CHP &amp; Energy'!E27</f>
        <v>0</v>
      </c>
      <c r="Z26" s="59">
        <f>'CHP &amp; Energy'!K27</f>
        <v>50000</v>
      </c>
      <c r="AB26" s="89">
        <f t="shared" si="4"/>
        <v>1001</v>
      </c>
      <c r="AC26" s="89">
        <f t="shared" si="4"/>
        <v>1001</v>
      </c>
      <c r="AD26" s="89">
        <f>MAX('Inputs &amp; Outputs'!$F17,'Inputs &amp; Outputs'!V17)</f>
        <v>1001</v>
      </c>
      <c r="AE26" s="34">
        <f t="shared" si="1"/>
        <v>108000</v>
      </c>
      <c r="AF26" s="34">
        <f t="shared" si="2"/>
        <v>50000</v>
      </c>
      <c r="AG26" s="41">
        <f t="shared" si="3"/>
        <v>158000</v>
      </c>
      <c r="AI26" s="34">
        <f>'CHP &amp; Energy'!G27</f>
        <v>158000</v>
      </c>
      <c r="AJ26" s="34">
        <f>'CHP &amp; Energy'!G27</f>
        <v>158000</v>
      </c>
    </row>
    <row r="27" spans="1:36">
      <c r="A27" s="34" t="s">
        <v>56</v>
      </c>
      <c r="B27" s="37" t="s">
        <v>43</v>
      </c>
      <c r="C27" s="89">
        <f>MAX('Inputs &amp; Outputs'!$F18,'Inputs &amp; Outputs'!$G18)</f>
        <v>500</v>
      </c>
      <c r="D27" s="89">
        <f>MAX('Inputs &amp; Outputs'!$F18,'Inputs &amp; Outputs'!$G18)</f>
        <v>500</v>
      </c>
      <c r="E27" s="89">
        <f>MAX('Inputs &amp; Outputs'!$F18,'Inputs &amp; Outputs'!$G18)</f>
        <v>500</v>
      </c>
      <c r="F27" s="89">
        <f>MAX('Inputs &amp; Outputs'!$F18,'Inputs &amp; Outputs'!$G18)</f>
        <v>500</v>
      </c>
      <c r="G27" s="23"/>
      <c r="H27" s="23"/>
      <c r="I27" s="23"/>
      <c r="J27" s="23"/>
      <c r="K27" s="103">
        <f>'Inputs &amp; Outputs'!$F18</f>
        <v>500</v>
      </c>
      <c r="L27" s="89">
        <f>'Inputs &amp; Outputs'!$G18</f>
        <v>500</v>
      </c>
      <c r="M27" s="89">
        <f>MAX('Inputs &amp; Outputs'!$F18,'Inputs &amp; Outputs'!G18)</f>
        <v>500</v>
      </c>
      <c r="N27" s="23"/>
      <c r="O27" s="23"/>
      <c r="P27" s="23"/>
      <c r="Q27" s="41"/>
      <c r="R27" s="100">
        <f>'CHP &amp; Energy'!$G28</f>
        <v>158000</v>
      </c>
      <c r="S27" s="100">
        <f>'CHP &amp; Energy'!$G28</f>
        <v>158000</v>
      </c>
      <c r="T27" s="100">
        <f>'CHP &amp; Energy'!$G28</f>
        <v>158000</v>
      </c>
      <c r="U27" s="100">
        <f>'CHP &amp; Energy'!$G28</f>
        <v>158000</v>
      </c>
      <c r="V27" s="58">
        <f>'CHP &amp; Energy'!I28</f>
        <v>108000</v>
      </c>
      <c r="W27" s="59">
        <f>'CHP &amp; Energy'!E28</f>
        <v>0</v>
      </c>
      <c r="X27" s="59">
        <f>'CHP &amp; Energy'!K28</f>
        <v>50000</v>
      </c>
      <c r="Y27" s="59">
        <f>'CHP &amp; Energy'!E28</f>
        <v>0</v>
      </c>
      <c r="Z27" s="59">
        <f>'CHP &amp; Energy'!K28</f>
        <v>50000</v>
      </c>
      <c r="AB27" s="89">
        <f t="shared" si="4"/>
        <v>500</v>
      </c>
      <c r="AC27" s="89">
        <f t="shared" si="4"/>
        <v>500</v>
      </c>
      <c r="AD27" s="89">
        <f>MAX('Inputs &amp; Outputs'!$F18,'Inputs &amp; Outputs'!V18)</f>
        <v>500</v>
      </c>
      <c r="AE27" s="34">
        <f t="shared" si="1"/>
        <v>108000</v>
      </c>
      <c r="AF27" s="34">
        <f t="shared" si="2"/>
        <v>50000</v>
      </c>
      <c r="AG27" s="41">
        <f t="shared" si="3"/>
        <v>158000</v>
      </c>
      <c r="AI27" s="34">
        <f>'CHP &amp; Energy'!G28</f>
        <v>158000</v>
      </c>
      <c r="AJ27" s="34">
        <f>'CHP &amp; Energy'!G28</f>
        <v>158000</v>
      </c>
    </row>
    <row r="28" spans="1:36">
      <c r="A28" s="34" t="s">
        <v>56</v>
      </c>
      <c r="B28" s="36" t="s">
        <v>44</v>
      </c>
      <c r="C28" s="89">
        <f>MAX('Inputs &amp; Outputs'!$F19,'Inputs &amp; Outputs'!$G19)</f>
        <v>500</v>
      </c>
      <c r="D28" s="89">
        <f>MAX('Inputs &amp; Outputs'!$F19,'Inputs &amp; Outputs'!$G19)</f>
        <v>500</v>
      </c>
      <c r="E28" s="89">
        <f>MAX('Inputs &amp; Outputs'!$F19,'Inputs &amp; Outputs'!$G19)</f>
        <v>500</v>
      </c>
      <c r="F28" s="89">
        <f>MAX('Inputs &amp; Outputs'!$F19,'Inputs &amp; Outputs'!$G19)</f>
        <v>500</v>
      </c>
      <c r="G28" s="23"/>
      <c r="H28" s="23"/>
      <c r="I28" s="23"/>
      <c r="J28" s="23"/>
      <c r="K28" s="103">
        <f>'Inputs &amp; Outputs'!$F19</f>
        <v>500</v>
      </c>
      <c r="L28" s="89">
        <f>'Inputs &amp; Outputs'!$G19</f>
        <v>500</v>
      </c>
      <c r="M28" s="89">
        <f>MAX('Inputs &amp; Outputs'!$F19,'Inputs &amp; Outputs'!G19)</f>
        <v>500</v>
      </c>
      <c r="N28" s="23"/>
      <c r="O28" s="23"/>
      <c r="P28" s="23"/>
      <c r="Q28" s="41"/>
      <c r="R28" s="100">
        <f>'CHP &amp; Energy'!$G29</f>
        <v>158000</v>
      </c>
      <c r="S28" s="100">
        <f>'CHP &amp; Energy'!$G29</f>
        <v>158000</v>
      </c>
      <c r="T28" s="100">
        <f>'CHP &amp; Energy'!$G29</f>
        <v>158000</v>
      </c>
      <c r="U28" s="100">
        <f>'CHP &amp; Energy'!$G29</f>
        <v>158000</v>
      </c>
      <c r="V28" s="58">
        <f>'CHP &amp; Energy'!I29</f>
        <v>108000</v>
      </c>
      <c r="W28" s="59">
        <f>'CHP &amp; Energy'!E29</f>
        <v>0</v>
      </c>
      <c r="X28" s="59">
        <f>'CHP &amp; Energy'!K29</f>
        <v>50000</v>
      </c>
      <c r="Y28" s="59">
        <f>'CHP &amp; Energy'!E29</f>
        <v>0</v>
      </c>
      <c r="Z28" s="59">
        <f>'CHP &amp; Energy'!K29</f>
        <v>50000</v>
      </c>
      <c r="AB28" s="89">
        <f t="shared" si="4"/>
        <v>500</v>
      </c>
      <c r="AC28" s="89">
        <f t="shared" si="4"/>
        <v>500</v>
      </c>
      <c r="AD28" s="89">
        <f>MAX('Inputs &amp; Outputs'!$F19,'Inputs &amp; Outputs'!V19)</f>
        <v>500</v>
      </c>
      <c r="AE28" s="34">
        <f t="shared" si="1"/>
        <v>108000</v>
      </c>
      <c r="AF28" s="34">
        <f t="shared" si="2"/>
        <v>50000</v>
      </c>
      <c r="AG28" s="41">
        <f t="shared" si="3"/>
        <v>158000</v>
      </c>
      <c r="AI28" s="34">
        <f>'CHP &amp; Energy'!G29</f>
        <v>158000</v>
      </c>
      <c r="AJ28" s="34">
        <f>'CHP &amp; Energy'!G29</f>
        <v>158000</v>
      </c>
    </row>
    <row r="29" spans="1:36">
      <c r="A29" s="34" t="s">
        <v>55</v>
      </c>
      <c r="B29" s="37" t="s">
        <v>45</v>
      </c>
      <c r="C29" s="23"/>
      <c r="D29" s="23"/>
      <c r="E29" s="23"/>
      <c r="F29" s="23"/>
      <c r="G29" s="88">
        <f>'Inputs &amp; Outputs'!$F20</f>
        <v>460</v>
      </c>
      <c r="H29" s="88">
        <f>'Inputs &amp; Outputs'!$F20</f>
        <v>460</v>
      </c>
      <c r="I29" s="88">
        <f>'Inputs &amp; Outputs'!$F20</f>
        <v>460</v>
      </c>
      <c r="J29" s="88">
        <f>'Inputs &amp; Outputs'!$F20</f>
        <v>460</v>
      </c>
      <c r="K29" s="102"/>
      <c r="L29" s="23"/>
      <c r="M29" s="23"/>
      <c r="N29" s="88">
        <f>'Inputs &amp; Outputs'!$F20</f>
        <v>460</v>
      </c>
      <c r="O29" s="88">
        <f>'Inputs &amp; Outputs'!$G20</f>
        <v>460</v>
      </c>
      <c r="P29" s="88">
        <f>MAX('Inputs &amp; Outputs'!$F20,'Inputs &amp; Outputs'!G20)</f>
        <v>460</v>
      </c>
      <c r="Q29" s="41"/>
      <c r="R29" s="100">
        <f>'CHP &amp; Energy'!$G30</f>
        <v>133000</v>
      </c>
      <c r="S29" s="100">
        <f>'CHP &amp; Energy'!$G30</f>
        <v>133000</v>
      </c>
      <c r="T29" s="100">
        <f>'CHP &amp; Energy'!$G30</f>
        <v>133000</v>
      </c>
      <c r="U29" s="100">
        <f>'CHP &amp; Energy'!$G30</f>
        <v>133000</v>
      </c>
      <c r="V29" s="58">
        <f>'CHP &amp; Energy'!I30</f>
        <v>85000</v>
      </c>
      <c r="W29" s="59">
        <f>'CHP &amp; Energy'!E30</f>
        <v>0</v>
      </c>
      <c r="X29" s="59">
        <f>'CHP &amp; Energy'!K30</f>
        <v>48000</v>
      </c>
      <c r="Y29" s="59">
        <f>'CHP &amp; Energy'!E30</f>
        <v>0</v>
      </c>
      <c r="Z29" s="59">
        <f>'CHP &amp; Energy'!K30</f>
        <v>48000</v>
      </c>
      <c r="AB29" s="88">
        <f t="shared" ref="AB29:AC31" si="5">N29</f>
        <v>460</v>
      </c>
      <c r="AC29" s="88">
        <f t="shared" si="5"/>
        <v>460</v>
      </c>
      <c r="AD29" s="88">
        <f>MAX('Inputs &amp; Outputs'!$F20,'Inputs &amp; Outputs'!V20)</f>
        <v>460</v>
      </c>
      <c r="AE29" s="34">
        <f t="shared" si="1"/>
        <v>85000</v>
      </c>
      <c r="AF29" s="34">
        <f t="shared" si="2"/>
        <v>48000</v>
      </c>
      <c r="AG29" s="41">
        <f t="shared" si="3"/>
        <v>133000</v>
      </c>
      <c r="AI29" s="34">
        <f>'CHP &amp; Energy'!G30</f>
        <v>133000</v>
      </c>
      <c r="AJ29" s="34">
        <f>'CHP &amp; Energy'!G30</f>
        <v>133000</v>
      </c>
    </row>
    <row r="30" spans="1:36">
      <c r="A30" s="34" t="s">
        <v>55</v>
      </c>
      <c r="B30" s="36" t="s">
        <v>46</v>
      </c>
      <c r="C30" s="23"/>
      <c r="D30" s="23"/>
      <c r="E30" s="23"/>
      <c r="F30" s="23"/>
      <c r="G30" s="88">
        <f>'Inputs &amp; Outputs'!$F21</f>
        <v>470</v>
      </c>
      <c r="H30" s="88">
        <f>'Inputs &amp; Outputs'!$F21</f>
        <v>470</v>
      </c>
      <c r="I30" s="88">
        <f>'Inputs &amp; Outputs'!$F21</f>
        <v>470</v>
      </c>
      <c r="J30" s="88">
        <f>'Inputs &amp; Outputs'!$F21</f>
        <v>470</v>
      </c>
      <c r="K30" s="102"/>
      <c r="L30" s="23"/>
      <c r="M30" s="23"/>
      <c r="N30" s="88">
        <f>'Inputs &amp; Outputs'!$F21</f>
        <v>470</v>
      </c>
      <c r="O30" s="88">
        <f>'Inputs &amp; Outputs'!$G21</f>
        <v>470</v>
      </c>
      <c r="P30" s="88">
        <f>MAX('Inputs &amp; Outputs'!$F21,'Inputs &amp; Outputs'!G21)</f>
        <v>470</v>
      </c>
      <c r="Q30" s="41"/>
      <c r="R30" s="100">
        <f>'CHP &amp; Energy'!$G31</f>
        <v>152000</v>
      </c>
      <c r="S30" s="100">
        <f>'CHP &amp; Energy'!$G31</f>
        <v>152000</v>
      </c>
      <c r="T30" s="100">
        <f>'CHP &amp; Energy'!$G31</f>
        <v>152000</v>
      </c>
      <c r="U30" s="100">
        <f>'CHP &amp; Energy'!$G31</f>
        <v>152000</v>
      </c>
      <c r="V30" s="58">
        <f>'CHP &amp; Energy'!I31</f>
        <v>85000</v>
      </c>
      <c r="W30" s="59">
        <f>'CHP &amp; Energy'!E31</f>
        <v>0</v>
      </c>
      <c r="X30" s="59">
        <f>'CHP &amp; Energy'!K31</f>
        <v>67000</v>
      </c>
      <c r="Y30" s="59">
        <f>'CHP &amp; Energy'!E31</f>
        <v>0</v>
      </c>
      <c r="Z30" s="59">
        <f>'CHP &amp; Energy'!K31</f>
        <v>67000</v>
      </c>
      <c r="AB30" s="88">
        <f t="shared" si="5"/>
        <v>470</v>
      </c>
      <c r="AC30" s="88">
        <f t="shared" si="5"/>
        <v>470</v>
      </c>
      <c r="AD30" s="88">
        <f>MAX('Inputs &amp; Outputs'!$F21,'Inputs &amp; Outputs'!V21)</f>
        <v>470</v>
      </c>
      <c r="AE30" s="34">
        <f t="shared" si="1"/>
        <v>85000</v>
      </c>
      <c r="AF30" s="34">
        <f t="shared" si="2"/>
        <v>67000</v>
      </c>
      <c r="AG30" s="41">
        <f t="shared" si="3"/>
        <v>152000</v>
      </c>
      <c r="AI30" s="34">
        <f>'CHP &amp; Energy'!G31</f>
        <v>152000</v>
      </c>
      <c r="AJ30" s="34">
        <f>'CHP &amp; Energy'!G31</f>
        <v>152000</v>
      </c>
    </row>
    <row r="31" spans="1:36">
      <c r="A31" s="34" t="s">
        <v>55</v>
      </c>
      <c r="B31" s="37" t="s">
        <v>47</v>
      </c>
      <c r="C31" s="23"/>
      <c r="D31" s="23"/>
      <c r="E31" s="23"/>
      <c r="F31" s="23"/>
      <c r="G31" s="88">
        <f>'Inputs &amp; Outputs'!$F22</f>
        <v>470</v>
      </c>
      <c r="H31" s="88">
        <f>'Inputs &amp; Outputs'!$F22</f>
        <v>470</v>
      </c>
      <c r="I31" s="88">
        <f>'Inputs &amp; Outputs'!$F22</f>
        <v>470</v>
      </c>
      <c r="J31" s="88">
        <f>'Inputs &amp; Outputs'!$F22</f>
        <v>470</v>
      </c>
      <c r="K31" s="102"/>
      <c r="L31" s="23"/>
      <c r="M31" s="23"/>
      <c r="N31" s="88">
        <f>'Inputs &amp; Outputs'!$F22</f>
        <v>470</v>
      </c>
      <c r="O31" s="88">
        <f>'Inputs &amp; Outputs'!$G22</f>
        <v>470</v>
      </c>
      <c r="P31" s="88">
        <f>MAX('Inputs &amp; Outputs'!$F22,'Inputs &amp; Outputs'!G22)</f>
        <v>470</v>
      </c>
      <c r="Q31" s="41"/>
      <c r="R31" s="100">
        <f>'CHP &amp; Energy'!$G32</f>
        <v>152000</v>
      </c>
      <c r="S31" s="100">
        <f>'CHP &amp; Energy'!$G32</f>
        <v>152000</v>
      </c>
      <c r="T31" s="100">
        <f>'CHP &amp; Energy'!$G32</f>
        <v>152000</v>
      </c>
      <c r="U31" s="100">
        <f>'CHP &amp; Energy'!$G32</f>
        <v>152000</v>
      </c>
      <c r="V31" s="58">
        <f>'CHP &amp; Energy'!I32</f>
        <v>85000</v>
      </c>
      <c r="W31" s="59">
        <f>'CHP &amp; Energy'!E32</f>
        <v>0</v>
      </c>
      <c r="X31" s="59">
        <f>'CHP &amp; Energy'!K32</f>
        <v>67000</v>
      </c>
      <c r="Y31" s="59">
        <f>'CHP &amp; Energy'!E32</f>
        <v>0</v>
      </c>
      <c r="Z31" s="59">
        <f>'CHP &amp; Energy'!K32</f>
        <v>67000</v>
      </c>
      <c r="AB31" s="88">
        <f t="shared" si="5"/>
        <v>470</v>
      </c>
      <c r="AC31" s="88">
        <f t="shared" si="5"/>
        <v>470</v>
      </c>
      <c r="AD31" s="88">
        <f>MAX('Inputs &amp; Outputs'!$F22,'Inputs &amp; Outputs'!V22)</f>
        <v>470</v>
      </c>
      <c r="AE31" s="34">
        <f t="shared" si="1"/>
        <v>85000</v>
      </c>
      <c r="AF31" s="34">
        <f t="shared" si="2"/>
        <v>67000</v>
      </c>
      <c r="AG31" s="41">
        <f t="shared" si="3"/>
        <v>152000</v>
      </c>
      <c r="AI31" s="34">
        <f>'CHP &amp; Energy'!G32</f>
        <v>152000</v>
      </c>
      <c r="AJ31" s="34">
        <f>'CHP &amp; Energy'!G32</f>
        <v>152000</v>
      </c>
    </row>
    <row r="32" spans="1:36">
      <c r="J32" s="42"/>
      <c r="X32" s="39"/>
    </row>
    <row r="33" spans="1:36">
      <c r="A33" s="34" t="s">
        <v>113</v>
      </c>
      <c r="B33" s="188" t="str">
        <f>INDEX(Tables!B6:C37,Tables!B5,1)</f>
        <v>SC-9_Rate_II</v>
      </c>
      <c r="F33" s="40"/>
      <c r="G33" s="40"/>
      <c r="H33" s="40"/>
      <c r="I33" s="40"/>
      <c r="Q33" s="39" t="s">
        <v>113</v>
      </c>
      <c r="R33" s="188" t="str">
        <f>INDEX(Tables!B6:C37,Tables!B5,1)</f>
        <v>SC-9_Rate_II</v>
      </c>
      <c r="S33" s="60"/>
    </row>
    <row r="34" spans="1:36" ht="13">
      <c r="B34" s="35" t="s">
        <v>117</v>
      </c>
      <c r="F34" s="40"/>
      <c r="G34" s="40"/>
      <c r="H34" s="40"/>
      <c r="I34" s="40"/>
      <c r="K34" s="101" t="s">
        <v>127</v>
      </c>
      <c r="R34" s="101" t="s">
        <v>131</v>
      </c>
      <c r="V34" s="101" t="s">
        <v>126</v>
      </c>
      <c r="AB34" s="101" t="s">
        <v>184</v>
      </c>
    </row>
    <row r="35" spans="1:36">
      <c r="B35" s="34" t="s">
        <v>105</v>
      </c>
      <c r="C35" s="25">
        <v>20</v>
      </c>
      <c r="D35" s="25">
        <v>21</v>
      </c>
      <c r="E35" s="25">
        <v>22</v>
      </c>
      <c r="F35" s="25">
        <v>23</v>
      </c>
      <c r="G35" s="25">
        <v>20</v>
      </c>
      <c r="H35" s="25">
        <v>21</v>
      </c>
      <c r="I35" s="25">
        <v>22</v>
      </c>
      <c r="J35" s="25">
        <v>23</v>
      </c>
      <c r="K35" s="25"/>
      <c r="L35" s="25"/>
      <c r="M35" s="25"/>
      <c r="N35" s="25"/>
      <c r="O35" s="25"/>
      <c r="P35" s="25"/>
      <c r="R35" s="80">
        <v>34</v>
      </c>
      <c r="S35" s="80">
        <v>35</v>
      </c>
      <c r="T35" s="80">
        <v>34</v>
      </c>
      <c r="U35" s="80">
        <v>35</v>
      </c>
      <c r="V35" s="80"/>
      <c r="W35" s="80"/>
      <c r="X35" s="80"/>
      <c r="Y35" s="80"/>
      <c r="Z35" s="80"/>
    </row>
    <row r="36" spans="1:36">
      <c r="B36" s="34" t="s">
        <v>91</v>
      </c>
      <c r="C36" s="74">
        <f>INDEX(Rate_Table,Tables!$B$5,C$35)</f>
        <v>0</v>
      </c>
      <c r="D36" s="74">
        <f>INDEX(Rate_Table,Tables!$B$5,D$35)</f>
        <v>0</v>
      </c>
      <c r="E36" s="74">
        <f>INDEX(Rate_Table,Tables!$B$5,E$35)</f>
        <v>0</v>
      </c>
      <c r="F36" s="74">
        <f>INDEX(Rate_Table,Tables!$B$5,F$35)</f>
        <v>0</v>
      </c>
      <c r="G36" s="74">
        <f>INDEX(Rate_Table,Tables!$B$5,G$35)</f>
        <v>0</v>
      </c>
      <c r="H36" s="74">
        <f>INDEX(Rate_Table,Tables!$B$5,H$35)</f>
        <v>0</v>
      </c>
      <c r="I36" s="74">
        <f>INDEX(Rate_Table,Tables!$B$5,I$35)</f>
        <v>0</v>
      </c>
      <c r="J36" s="74">
        <f>INDEX(Rate_Table,Tables!$B$5,J$35)</f>
        <v>0</v>
      </c>
      <c r="K36" s="25"/>
      <c r="L36" s="121"/>
      <c r="M36" s="121"/>
      <c r="N36" s="25"/>
      <c r="O36" s="25"/>
      <c r="P36" s="25"/>
      <c r="Q36" s="77"/>
      <c r="R36" s="74">
        <f>INDEX(Rate_Table,Tables!$B$5,R$35)</f>
        <v>0</v>
      </c>
      <c r="S36" s="74">
        <f>INDEX(Rate_Table,Tables!$B$5,S$35)</f>
        <v>0</v>
      </c>
      <c r="T36" s="74">
        <f>INDEX(Rate_Table,Tables!$B$5,T$35)</f>
        <v>0</v>
      </c>
      <c r="U36" s="74">
        <f>INDEX(Rate_Table,Tables!$B$5,U$35)</f>
        <v>0</v>
      </c>
      <c r="V36" s="116" t="s">
        <v>150</v>
      </c>
      <c r="AB36" s="122" t="s">
        <v>266</v>
      </c>
    </row>
    <row r="37" spans="1:36">
      <c r="B37" s="36" t="s">
        <v>37</v>
      </c>
      <c r="C37" s="89">
        <f t="shared" ref="C37:C48" si="6">IF(C$36&gt;C20,C20,C$36)</f>
        <v>0</v>
      </c>
      <c r="D37" s="89">
        <f t="shared" ref="D37:D48" si="7">IF(D20&gt;SUM(C$36:D$36),IF(D$36="up",D20-SUM(C$36:C$36),D$36),IF(D20&lt;=C$36,0,(D20-(SUM(C$36:C$36)))))</f>
        <v>0</v>
      </c>
      <c r="E37" s="89">
        <f t="shared" ref="E37:E48" si="8">IF(E20&gt;SUM(D$36:E$36),IF(E$36="up",E20-SUM(C$36:D$36),E$36),IF(E20&lt;=D$36,0,(E20-(SUM(D$36:D$36)))))</f>
        <v>0</v>
      </c>
      <c r="F37" s="89">
        <f t="shared" ref="F37:F48" si="9">IF(F20&gt;SUM(E$36:F$36),IF(F$36="up",F20-SUM(C$36:E$36),F$36),IF(F20&lt;=E$36,0,(F20-(SUM(E$36:E$36)))))</f>
        <v>0</v>
      </c>
      <c r="G37" s="88">
        <f t="shared" ref="G37:G48" si="10">IF(G$36&gt;G20,G20,G$36)</f>
        <v>0</v>
      </c>
      <c r="H37" s="88">
        <f t="shared" ref="H37:H48" si="11">IF(H20&gt;SUM(G$36:H$36),IF(H$36="up",H20-SUM(G$36:G$36),H$36),IF(H20&lt;=G$36,0,(H20-(SUM(G$36:G$36)))))</f>
        <v>0</v>
      </c>
      <c r="I37" s="88">
        <f t="shared" ref="I37:I48" si="12">IF(I20&gt;SUM(H$36:I$36),IF(I$36="up",I20-SUM(G$36:H$36),I$36),IF(I20&lt;=H$36,0,(I20-(SUM(G$36:H$36)))))</f>
        <v>0</v>
      </c>
      <c r="J37" s="88">
        <f t="shared" ref="J37:J48" si="13">IF(J20&gt;SUM(G$36:J$36),IF(J$36="up",J20-SUM(G$36:I$36),J$36),IF(J20&lt;=(SUM(G$36:I$36)),0,(J20-(SUM(I$36:I$36)))))</f>
        <v>0</v>
      </c>
      <c r="K37" s="99">
        <f t="shared" ref="K37:P46" si="14">K20</f>
        <v>0</v>
      </c>
      <c r="L37" s="100">
        <f t="shared" si="14"/>
        <v>0</v>
      </c>
      <c r="M37" s="100">
        <f t="shared" si="14"/>
        <v>0</v>
      </c>
      <c r="N37" s="100">
        <f t="shared" si="14"/>
        <v>470</v>
      </c>
      <c r="O37" s="100">
        <f t="shared" si="14"/>
        <v>470</v>
      </c>
      <c r="P37" s="100">
        <f t="shared" si="14"/>
        <v>470</v>
      </c>
      <c r="Q37" s="100"/>
      <c r="R37" s="89">
        <f t="shared" ref="R37:R48" si="15">IF(R$36&gt;R20,R20,R$36)</f>
        <v>0</v>
      </c>
      <c r="S37" s="89">
        <f t="shared" ref="S37:S48" si="16">IF(S20&gt;SUM(R$36:S$36),IF(S$36="up",S20-SUM(R$36:R$36),S$36),IF(S20&lt;=R$36,0,(S20-(SUM(R$36:R$36)))))</f>
        <v>0</v>
      </c>
      <c r="T37" s="88">
        <f t="shared" ref="T37:T48" si="17">IF(T$36&gt;T20,T20,T$36)</f>
        <v>0</v>
      </c>
      <c r="U37" s="88">
        <f t="shared" ref="U37:U48" si="18">IF(U20&gt;SUM(T$36:U$36),IF(U$36="up",U20-SUM(T$36:T$36),U$36),IF(U20&lt;=T$36,0,(U20-(SUM(T$36:T$36)))))</f>
        <v>0</v>
      </c>
      <c r="V37" s="103">
        <f>'CHP &amp; Energy'!I21</f>
        <v>85000</v>
      </c>
      <c r="W37" s="123">
        <f>'CHP &amp; Energy'!E21</f>
        <v>0</v>
      </c>
      <c r="X37" s="89">
        <f>'CHP &amp; Energy'!L21</f>
        <v>152000</v>
      </c>
      <c r="Y37" s="88">
        <f>'CHP &amp; Energy'!E21</f>
        <v>0</v>
      </c>
      <c r="Z37" s="88">
        <f>'CHP &amp; Energy'!L21</f>
        <v>152000</v>
      </c>
      <c r="AB37" s="149"/>
      <c r="AC37" s="150"/>
      <c r="AD37" s="150"/>
      <c r="AE37" s="150"/>
      <c r="AF37" s="150"/>
      <c r="AG37" s="151"/>
      <c r="AI37" s="149"/>
      <c r="AJ37" s="151"/>
    </row>
    <row r="38" spans="1:36">
      <c r="B38" s="37" t="s">
        <v>38</v>
      </c>
      <c r="C38" s="89">
        <f t="shared" si="6"/>
        <v>0</v>
      </c>
      <c r="D38" s="89">
        <f t="shared" si="7"/>
        <v>0</v>
      </c>
      <c r="E38" s="89">
        <f t="shared" si="8"/>
        <v>0</v>
      </c>
      <c r="F38" s="89">
        <f t="shared" si="9"/>
        <v>0</v>
      </c>
      <c r="G38" s="88">
        <f t="shared" si="10"/>
        <v>0</v>
      </c>
      <c r="H38" s="88">
        <f t="shared" si="11"/>
        <v>0</v>
      </c>
      <c r="I38" s="88">
        <f t="shared" si="12"/>
        <v>0</v>
      </c>
      <c r="J38" s="88">
        <f t="shared" si="13"/>
        <v>0</v>
      </c>
      <c r="K38" s="99">
        <f t="shared" si="14"/>
        <v>0</v>
      </c>
      <c r="L38" s="100">
        <f t="shared" si="14"/>
        <v>0</v>
      </c>
      <c r="M38" s="100">
        <f t="shared" si="14"/>
        <v>0</v>
      </c>
      <c r="N38" s="100">
        <f t="shared" si="14"/>
        <v>470</v>
      </c>
      <c r="O38" s="100">
        <f t="shared" si="14"/>
        <v>470</v>
      </c>
      <c r="P38" s="100">
        <f t="shared" si="14"/>
        <v>470</v>
      </c>
      <c r="R38" s="89">
        <f t="shared" si="15"/>
        <v>0</v>
      </c>
      <c r="S38" s="89">
        <f t="shared" si="16"/>
        <v>0</v>
      </c>
      <c r="T38" s="88">
        <f t="shared" si="17"/>
        <v>0</v>
      </c>
      <c r="U38" s="88">
        <f t="shared" si="18"/>
        <v>0</v>
      </c>
      <c r="V38" s="103">
        <f>'CHP &amp; Energy'!I22</f>
        <v>85000</v>
      </c>
      <c r="W38" s="123">
        <f>'CHP &amp; Energy'!E22</f>
        <v>0</v>
      </c>
      <c r="X38" s="89">
        <f>'CHP &amp; Energy'!L22</f>
        <v>152000</v>
      </c>
      <c r="Y38" s="88">
        <f>'CHP &amp; Energy'!E22</f>
        <v>0</v>
      </c>
      <c r="Z38" s="88">
        <f>'CHP &amp; Energy'!L22</f>
        <v>152000</v>
      </c>
      <c r="AB38" s="58"/>
      <c r="AC38" s="59"/>
      <c r="AD38" s="59"/>
      <c r="AE38" s="59"/>
      <c r="AF38" s="59"/>
      <c r="AG38" s="152"/>
      <c r="AI38" s="58"/>
      <c r="AJ38" s="152"/>
    </row>
    <row r="39" spans="1:36">
      <c r="B39" s="36" t="s">
        <v>39</v>
      </c>
      <c r="C39" s="89">
        <f t="shared" si="6"/>
        <v>0</v>
      </c>
      <c r="D39" s="89">
        <f t="shared" si="7"/>
        <v>0</v>
      </c>
      <c r="E39" s="89">
        <f t="shared" si="8"/>
        <v>0</v>
      </c>
      <c r="F39" s="89">
        <f t="shared" si="9"/>
        <v>0</v>
      </c>
      <c r="G39" s="88">
        <f t="shared" si="10"/>
        <v>0</v>
      </c>
      <c r="H39" s="88">
        <f t="shared" si="11"/>
        <v>0</v>
      </c>
      <c r="I39" s="88">
        <f t="shared" si="12"/>
        <v>0</v>
      </c>
      <c r="J39" s="88">
        <f t="shared" si="13"/>
        <v>0</v>
      </c>
      <c r="K39" s="99">
        <f t="shared" si="14"/>
        <v>0</v>
      </c>
      <c r="L39" s="100">
        <f t="shared" si="14"/>
        <v>0</v>
      </c>
      <c r="M39" s="100">
        <f t="shared" si="14"/>
        <v>0</v>
      </c>
      <c r="N39" s="100">
        <f t="shared" si="14"/>
        <v>470</v>
      </c>
      <c r="O39" s="100">
        <f t="shared" si="14"/>
        <v>470</v>
      </c>
      <c r="P39" s="100">
        <f t="shared" si="14"/>
        <v>470</v>
      </c>
      <c r="R39" s="89">
        <f t="shared" si="15"/>
        <v>0</v>
      </c>
      <c r="S39" s="89">
        <f t="shared" si="16"/>
        <v>0</v>
      </c>
      <c r="T39" s="88">
        <f t="shared" si="17"/>
        <v>0</v>
      </c>
      <c r="U39" s="88">
        <f t="shared" si="18"/>
        <v>0</v>
      </c>
      <c r="V39" s="103">
        <f>'CHP &amp; Energy'!I23</f>
        <v>85000</v>
      </c>
      <c r="W39" s="123">
        <f>'CHP &amp; Energy'!E23</f>
        <v>0</v>
      </c>
      <c r="X39" s="89">
        <f>'CHP &amp; Energy'!L23</f>
        <v>152000</v>
      </c>
      <c r="Y39" s="88">
        <f>'CHP &amp; Energy'!E23</f>
        <v>0</v>
      </c>
      <c r="Z39" s="88">
        <f>'CHP &amp; Energy'!L23</f>
        <v>152000</v>
      </c>
      <c r="AB39" s="58"/>
      <c r="AC39" s="59"/>
      <c r="AD39" s="59"/>
      <c r="AE39" s="59"/>
      <c r="AF39" s="59"/>
      <c r="AG39" s="152"/>
      <c r="AI39" s="58"/>
      <c r="AJ39" s="152"/>
    </row>
    <row r="40" spans="1:36">
      <c r="B40" s="37" t="s">
        <v>40</v>
      </c>
      <c r="C40" s="89">
        <f t="shared" si="6"/>
        <v>0</v>
      </c>
      <c r="D40" s="89">
        <f t="shared" si="7"/>
        <v>0</v>
      </c>
      <c r="E40" s="89">
        <f t="shared" si="8"/>
        <v>0</v>
      </c>
      <c r="F40" s="89">
        <f t="shared" si="9"/>
        <v>0</v>
      </c>
      <c r="G40" s="88">
        <f t="shared" si="10"/>
        <v>0</v>
      </c>
      <c r="H40" s="88">
        <f t="shared" si="11"/>
        <v>0</v>
      </c>
      <c r="I40" s="88">
        <f t="shared" si="12"/>
        <v>0</v>
      </c>
      <c r="J40" s="88">
        <f t="shared" si="13"/>
        <v>0</v>
      </c>
      <c r="K40" s="99">
        <f t="shared" si="14"/>
        <v>0</v>
      </c>
      <c r="L40" s="100">
        <f t="shared" si="14"/>
        <v>0</v>
      </c>
      <c r="M40" s="100">
        <f t="shared" si="14"/>
        <v>0</v>
      </c>
      <c r="N40" s="100">
        <f t="shared" si="14"/>
        <v>460</v>
      </c>
      <c r="O40" s="100">
        <f t="shared" si="14"/>
        <v>460</v>
      </c>
      <c r="P40" s="100">
        <f t="shared" si="14"/>
        <v>460</v>
      </c>
      <c r="R40" s="89">
        <f t="shared" si="15"/>
        <v>0</v>
      </c>
      <c r="S40" s="89">
        <f t="shared" si="16"/>
        <v>0</v>
      </c>
      <c r="T40" s="88">
        <f t="shared" si="17"/>
        <v>0</v>
      </c>
      <c r="U40" s="88">
        <f t="shared" si="18"/>
        <v>0</v>
      </c>
      <c r="V40" s="103">
        <f>'CHP &amp; Energy'!I24</f>
        <v>144000</v>
      </c>
      <c r="W40" s="123">
        <f>'CHP &amp; Energy'!E24</f>
        <v>0</v>
      </c>
      <c r="X40" s="89">
        <f>'CHP &amp; Energy'!L24</f>
        <v>194000</v>
      </c>
      <c r="Y40" s="88">
        <f>'CHP &amp; Energy'!E24</f>
        <v>0</v>
      </c>
      <c r="Z40" s="88">
        <f>'CHP &amp; Energy'!L24</f>
        <v>194000</v>
      </c>
      <c r="AB40" s="58"/>
      <c r="AC40" s="59"/>
      <c r="AD40" s="59"/>
      <c r="AE40" s="59"/>
      <c r="AF40" s="59"/>
      <c r="AG40" s="152"/>
      <c r="AI40" s="58"/>
      <c r="AJ40" s="152"/>
    </row>
    <row r="41" spans="1:36">
      <c r="B41" s="36" t="s">
        <v>7</v>
      </c>
      <c r="C41" s="89">
        <f t="shared" si="6"/>
        <v>0</v>
      </c>
      <c r="D41" s="89">
        <f t="shared" si="7"/>
        <v>0</v>
      </c>
      <c r="E41" s="89">
        <f t="shared" si="8"/>
        <v>0</v>
      </c>
      <c r="F41" s="89">
        <f t="shared" si="9"/>
        <v>0</v>
      </c>
      <c r="G41" s="88">
        <f t="shared" si="10"/>
        <v>0</v>
      </c>
      <c r="H41" s="88">
        <f t="shared" si="11"/>
        <v>0</v>
      </c>
      <c r="I41" s="88">
        <f t="shared" si="12"/>
        <v>0</v>
      </c>
      <c r="J41" s="88">
        <f t="shared" si="13"/>
        <v>0</v>
      </c>
      <c r="K41" s="99">
        <f t="shared" si="14"/>
        <v>0</v>
      </c>
      <c r="L41" s="100">
        <f t="shared" si="14"/>
        <v>0</v>
      </c>
      <c r="M41" s="100">
        <f t="shared" si="14"/>
        <v>0</v>
      </c>
      <c r="N41" s="100">
        <f t="shared" si="14"/>
        <v>500</v>
      </c>
      <c r="O41" s="100">
        <f t="shared" si="14"/>
        <v>500</v>
      </c>
      <c r="P41" s="100">
        <f t="shared" si="14"/>
        <v>500</v>
      </c>
      <c r="R41" s="89">
        <f t="shared" si="15"/>
        <v>0</v>
      </c>
      <c r="S41" s="89">
        <f t="shared" si="16"/>
        <v>0</v>
      </c>
      <c r="T41" s="88">
        <f t="shared" si="17"/>
        <v>0</v>
      </c>
      <c r="U41" s="88">
        <f t="shared" si="18"/>
        <v>0</v>
      </c>
      <c r="V41" s="103">
        <f>'CHP &amp; Energy'!I25</f>
        <v>108000</v>
      </c>
      <c r="W41" s="123">
        <f>'CHP &amp; Energy'!E25</f>
        <v>0</v>
      </c>
      <c r="X41" s="89">
        <f>'CHP &amp; Energy'!L25</f>
        <v>158000</v>
      </c>
      <c r="Y41" s="88">
        <f>'CHP &amp; Energy'!E25</f>
        <v>0</v>
      </c>
      <c r="Z41" s="88">
        <f>'CHP &amp; Energy'!L25</f>
        <v>158000</v>
      </c>
      <c r="AB41" s="58"/>
      <c r="AC41" s="59"/>
      <c r="AD41" s="59"/>
      <c r="AE41" s="59"/>
      <c r="AF41" s="59"/>
      <c r="AG41" s="152"/>
      <c r="AI41" s="58"/>
      <c r="AJ41" s="152"/>
    </row>
    <row r="42" spans="1:36">
      <c r="B42" s="37" t="s">
        <v>41</v>
      </c>
      <c r="C42" s="89">
        <f t="shared" si="6"/>
        <v>0</v>
      </c>
      <c r="D42" s="89">
        <f t="shared" si="7"/>
        <v>0</v>
      </c>
      <c r="E42" s="89">
        <f t="shared" si="8"/>
        <v>0</v>
      </c>
      <c r="F42" s="89">
        <f t="shared" si="9"/>
        <v>0</v>
      </c>
      <c r="G42" s="88">
        <f t="shared" si="10"/>
        <v>0</v>
      </c>
      <c r="H42" s="88">
        <f t="shared" si="11"/>
        <v>0</v>
      </c>
      <c r="I42" s="88">
        <f t="shared" si="12"/>
        <v>0</v>
      </c>
      <c r="J42" s="88">
        <f t="shared" si="13"/>
        <v>0</v>
      </c>
      <c r="K42" s="99">
        <f t="shared" si="14"/>
        <v>501</v>
      </c>
      <c r="L42" s="100">
        <f t="shared" si="14"/>
        <v>501</v>
      </c>
      <c r="M42" s="100">
        <f t="shared" si="14"/>
        <v>501</v>
      </c>
      <c r="N42" s="100">
        <f t="shared" si="14"/>
        <v>0</v>
      </c>
      <c r="O42" s="100">
        <f t="shared" si="14"/>
        <v>0</v>
      </c>
      <c r="P42" s="100">
        <f t="shared" si="14"/>
        <v>0</v>
      </c>
      <c r="R42" s="89">
        <f t="shared" si="15"/>
        <v>0</v>
      </c>
      <c r="S42" s="89">
        <f t="shared" si="16"/>
        <v>0</v>
      </c>
      <c r="T42" s="88">
        <f t="shared" si="17"/>
        <v>0</v>
      </c>
      <c r="U42" s="88">
        <f t="shared" si="18"/>
        <v>0</v>
      </c>
      <c r="V42" s="103">
        <f>'CHP &amp; Energy'!I26</f>
        <v>108000</v>
      </c>
      <c r="W42" s="123">
        <f>'CHP &amp; Energy'!E26</f>
        <v>0</v>
      </c>
      <c r="X42" s="89">
        <f>'CHP &amp; Energy'!L26</f>
        <v>158000</v>
      </c>
      <c r="Y42" s="88">
        <f>'CHP &amp; Energy'!E26</f>
        <v>0</v>
      </c>
      <c r="Z42" s="88">
        <f>'CHP &amp; Energy'!L26</f>
        <v>158000</v>
      </c>
      <c r="AB42" s="58"/>
      <c r="AC42" s="59"/>
      <c r="AD42" s="59"/>
      <c r="AE42" s="59"/>
      <c r="AF42" s="59"/>
      <c r="AG42" s="152"/>
      <c r="AI42" s="58"/>
      <c r="AJ42" s="152"/>
    </row>
    <row r="43" spans="1:36">
      <c r="B43" s="36" t="s">
        <v>42</v>
      </c>
      <c r="C43" s="89">
        <f t="shared" si="6"/>
        <v>0</v>
      </c>
      <c r="D43" s="89">
        <f t="shared" si="7"/>
        <v>0</v>
      </c>
      <c r="E43" s="89">
        <f t="shared" si="8"/>
        <v>0</v>
      </c>
      <c r="F43" s="89">
        <f t="shared" si="9"/>
        <v>0</v>
      </c>
      <c r="G43" s="88">
        <f t="shared" si="10"/>
        <v>0</v>
      </c>
      <c r="H43" s="88">
        <f t="shared" si="11"/>
        <v>0</v>
      </c>
      <c r="I43" s="88">
        <f t="shared" si="12"/>
        <v>0</v>
      </c>
      <c r="J43" s="88">
        <f t="shared" si="13"/>
        <v>0</v>
      </c>
      <c r="K43" s="99">
        <f t="shared" si="14"/>
        <v>1001</v>
      </c>
      <c r="L43" s="100">
        <f t="shared" si="14"/>
        <v>1001</v>
      </c>
      <c r="M43" s="100">
        <f t="shared" si="14"/>
        <v>1001</v>
      </c>
      <c r="N43" s="100">
        <f t="shared" si="14"/>
        <v>0</v>
      </c>
      <c r="O43" s="100">
        <f t="shared" si="14"/>
        <v>0</v>
      </c>
      <c r="P43" s="100">
        <f t="shared" si="14"/>
        <v>0</v>
      </c>
      <c r="R43" s="89">
        <f t="shared" si="15"/>
        <v>0</v>
      </c>
      <c r="S43" s="89">
        <f t="shared" si="16"/>
        <v>0</v>
      </c>
      <c r="T43" s="88">
        <f t="shared" si="17"/>
        <v>0</v>
      </c>
      <c r="U43" s="88">
        <f t="shared" si="18"/>
        <v>0</v>
      </c>
      <c r="V43" s="103">
        <f>'CHP &amp; Energy'!I27</f>
        <v>108000</v>
      </c>
      <c r="W43" s="123">
        <f>'CHP &amp; Energy'!E27</f>
        <v>0</v>
      </c>
      <c r="X43" s="89">
        <f>'CHP &amp; Energy'!L27</f>
        <v>158000</v>
      </c>
      <c r="Y43" s="88">
        <f>'CHP &amp; Energy'!E27</f>
        <v>0</v>
      </c>
      <c r="Z43" s="88">
        <f>'CHP &amp; Energy'!L27</f>
        <v>158000</v>
      </c>
      <c r="AB43" s="58"/>
      <c r="AC43" s="59"/>
      <c r="AD43" s="59"/>
      <c r="AE43" s="59"/>
      <c r="AF43" s="59"/>
      <c r="AG43" s="152"/>
      <c r="AI43" s="58"/>
      <c r="AJ43" s="152"/>
    </row>
    <row r="44" spans="1:36">
      <c r="B44" s="37" t="s">
        <v>43</v>
      </c>
      <c r="C44" s="89">
        <f t="shared" si="6"/>
        <v>0</v>
      </c>
      <c r="D44" s="89">
        <f t="shared" si="7"/>
        <v>0</v>
      </c>
      <c r="E44" s="89">
        <f t="shared" si="8"/>
        <v>0</v>
      </c>
      <c r="F44" s="89">
        <f t="shared" si="9"/>
        <v>0</v>
      </c>
      <c r="G44" s="88">
        <f t="shared" si="10"/>
        <v>0</v>
      </c>
      <c r="H44" s="88">
        <f t="shared" si="11"/>
        <v>0</v>
      </c>
      <c r="I44" s="88">
        <f t="shared" si="12"/>
        <v>0</v>
      </c>
      <c r="J44" s="88">
        <f t="shared" si="13"/>
        <v>0</v>
      </c>
      <c r="K44" s="99">
        <f t="shared" si="14"/>
        <v>500</v>
      </c>
      <c r="L44" s="100">
        <f t="shared" si="14"/>
        <v>500</v>
      </c>
      <c r="M44" s="100">
        <f t="shared" si="14"/>
        <v>500</v>
      </c>
      <c r="N44" s="100">
        <f t="shared" si="14"/>
        <v>0</v>
      </c>
      <c r="O44" s="100">
        <f t="shared" si="14"/>
        <v>0</v>
      </c>
      <c r="P44" s="100">
        <f t="shared" si="14"/>
        <v>0</v>
      </c>
      <c r="R44" s="89">
        <f t="shared" si="15"/>
        <v>0</v>
      </c>
      <c r="S44" s="89">
        <f t="shared" si="16"/>
        <v>0</v>
      </c>
      <c r="T44" s="88">
        <f t="shared" si="17"/>
        <v>0</v>
      </c>
      <c r="U44" s="88">
        <f t="shared" si="18"/>
        <v>0</v>
      </c>
      <c r="V44" s="103">
        <f>'CHP &amp; Energy'!I28</f>
        <v>108000</v>
      </c>
      <c r="W44" s="123">
        <f>'CHP &amp; Energy'!E28</f>
        <v>0</v>
      </c>
      <c r="X44" s="89">
        <f>'CHP &amp; Energy'!L28</f>
        <v>158000</v>
      </c>
      <c r="Y44" s="88">
        <f>'CHP &amp; Energy'!E28</f>
        <v>0</v>
      </c>
      <c r="Z44" s="88">
        <f>'CHP &amp; Energy'!L28</f>
        <v>158000</v>
      </c>
      <c r="AB44" s="58"/>
      <c r="AC44" s="59"/>
      <c r="AD44" s="59"/>
      <c r="AE44" s="59"/>
      <c r="AF44" s="59"/>
      <c r="AG44" s="152"/>
      <c r="AI44" s="58"/>
      <c r="AJ44" s="152"/>
    </row>
    <row r="45" spans="1:36">
      <c r="B45" s="36" t="s">
        <v>44</v>
      </c>
      <c r="C45" s="89">
        <f t="shared" si="6"/>
        <v>0</v>
      </c>
      <c r="D45" s="89">
        <f t="shared" si="7"/>
        <v>0</v>
      </c>
      <c r="E45" s="89">
        <f t="shared" si="8"/>
        <v>0</v>
      </c>
      <c r="F45" s="89">
        <f t="shared" si="9"/>
        <v>0</v>
      </c>
      <c r="G45" s="88">
        <f t="shared" si="10"/>
        <v>0</v>
      </c>
      <c r="H45" s="88">
        <f t="shared" si="11"/>
        <v>0</v>
      </c>
      <c r="I45" s="88">
        <f t="shared" si="12"/>
        <v>0</v>
      </c>
      <c r="J45" s="88">
        <f t="shared" si="13"/>
        <v>0</v>
      </c>
      <c r="K45" s="99">
        <f t="shared" si="14"/>
        <v>500</v>
      </c>
      <c r="L45" s="100">
        <f t="shared" si="14"/>
        <v>500</v>
      </c>
      <c r="M45" s="100">
        <f t="shared" si="14"/>
        <v>500</v>
      </c>
      <c r="N45" s="100">
        <f t="shared" si="14"/>
        <v>0</v>
      </c>
      <c r="O45" s="100">
        <f t="shared" si="14"/>
        <v>0</v>
      </c>
      <c r="P45" s="100">
        <f t="shared" si="14"/>
        <v>0</v>
      </c>
      <c r="R45" s="89">
        <f t="shared" si="15"/>
        <v>0</v>
      </c>
      <c r="S45" s="89">
        <f t="shared" si="16"/>
        <v>0</v>
      </c>
      <c r="T45" s="88">
        <f t="shared" si="17"/>
        <v>0</v>
      </c>
      <c r="U45" s="88">
        <f t="shared" si="18"/>
        <v>0</v>
      </c>
      <c r="V45" s="103">
        <f>'CHP &amp; Energy'!I29</f>
        <v>108000</v>
      </c>
      <c r="W45" s="123">
        <f>'CHP &amp; Energy'!E29</f>
        <v>0</v>
      </c>
      <c r="X45" s="89">
        <f>'CHP &amp; Energy'!L29</f>
        <v>158000</v>
      </c>
      <c r="Y45" s="88">
        <f>'CHP &amp; Energy'!E29</f>
        <v>0</v>
      </c>
      <c r="Z45" s="88">
        <f>'CHP &amp; Energy'!L29</f>
        <v>158000</v>
      </c>
      <c r="AB45" s="58"/>
      <c r="AC45" s="59"/>
      <c r="AD45" s="59"/>
      <c r="AE45" s="59"/>
      <c r="AF45" s="59"/>
      <c r="AG45" s="152"/>
      <c r="AI45" s="58"/>
      <c r="AJ45" s="152"/>
    </row>
    <row r="46" spans="1:36">
      <c r="B46" s="37" t="s">
        <v>45</v>
      </c>
      <c r="C46" s="89">
        <f t="shared" si="6"/>
        <v>0</v>
      </c>
      <c r="D46" s="89">
        <f t="shared" si="7"/>
        <v>0</v>
      </c>
      <c r="E46" s="89">
        <f t="shared" si="8"/>
        <v>0</v>
      </c>
      <c r="F46" s="89">
        <f t="shared" si="9"/>
        <v>0</v>
      </c>
      <c r="G46" s="88">
        <f t="shared" si="10"/>
        <v>0</v>
      </c>
      <c r="H46" s="88">
        <f t="shared" si="11"/>
        <v>0</v>
      </c>
      <c r="I46" s="88">
        <f t="shared" si="12"/>
        <v>0</v>
      </c>
      <c r="J46" s="88">
        <f t="shared" si="13"/>
        <v>0</v>
      </c>
      <c r="K46" s="99">
        <f t="shared" si="14"/>
        <v>0</v>
      </c>
      <c r="L46" s="100">
        <f t="shared" si="14"/>
        <v>0</v>
      </c>
      <c r="M46" s="100">
        <f t="shared" si="14"/>
        <v>0</v>
      </c>
      <c r="N46" s="100">
        <f t="shared" si="14"/>
        <v>460</v>
      </c>
      <c r="O46" s="100">
        <f t="shared" si="14"/>
        <v>460</v>
      </c>
      <c r="P46" s="100">
        <f t="shared" si="14"/>
        <v>460</v>
      </c>
      <c r="R46" s="89">
        <f t="shared" si="15"/>
        <v>0</v>
      </c>
      <c r="S46" s="89">
        <f t="shared" si="16"/>
        <v>0</v>
      </c>
      <c r="T46" s="88">
        <f t="shared" si="17"/>
        <v>0</v>
      </c>
      <c r="U46" s="88">
        <f t="shared" si="18"/>
        <v>0</v>
      </c>
      <c r="V46" s="103">
        <f>'CHP &amp; Energy'!I30</f>
        <v>85000</v>
      </c>
      <c r="W46" s="123">
        <f>'CHP &amp; Energy'!E30</f>
        <v>0</v>
      </c>
      <c r="X46" s="89">
        <f>'CHP &amp; Energy'!L30</f>
        <v>133000</v>
      </c>
      <c r="Y46" s="88">
        <f>'CHP &amp; Energy'!E30</f>
        <v>0</v>
      </c>
      <c r="Z46" s="88">
        <f>'CHP &amp; Energy'!L30</f>
        <v>133000</v>
      </c>
      <c r="AB46" s="58"/>
      <c r="AC46" s="59"/>
      <c r="AD46" s="59"/>
      <c r="AE46" s="59"/>
      <c r="AF46" s="59"/>
      <c r="AG46" s="152"/>
      <c r="AI46" s="58"/>
      <c r="AJ46" s="152"/>
    </row>
    <row r="47" spans="1:36">
      <c r="B47" s="36" t="s">
        <v>46</v>
      </c>
      <c r="C47" s="89">
        <f t="shared" si="6"/>
        <v>0</v>
      </c>
      <c r="D47" s="89">
        <f t="shared" si="7"/>
        <v>0</v>
      </c>
      <c r="E47" s="89">
        <f t="shared" si="8"/>
        <v>0</v>
      </c>
      <c r="F47" s="89">
        <f t="shared" si="9"/>
        <v>0</v>
      </c>
      <c r="G47" s="88">
        <f t="shared" si="10"/>
        <v>0</v>
      </c>
      <c r="H47" s="88">
        <f t="shared" si="11"/>
        <v>0</v>
      </c>
      <c r="I47" s="88">
        <f t="shared" si="12"/>
        <v>0</v>
      </c>
      <c r="J47" s="88">
        <f t="shared" si="13"/>
        <v>0</v>
      </c>
      <c r="K47" s="99">
        <f t="shared" ref="K47:P47" si="19">K30</f>
        <v>0</v>
      </c>
      <c r="L47" s="100">
        <f t="shared" si="19"/>
        <v>0</v>
      </c>
      <c r="M47" s="100">
        <f t="shared" si="19"/>
        <v>0</v>
      </c>
      <c r="N47" s="100">
        <f t="shared" si="19"/>
        <v>470</v>
      </c>
      <c r="O47" s="100">
        <f t="shared" si="19"/>
        <v>470</v>
      </c>
      <c r="P47" s="100">
        <f t="shared" si="19"/>
        <v>470</v>
      </c>
      <c r="R47" s="89">
        <f t="shared" si="15"/>
        <v>0</v>
      </c>
      <c r="S47" s="89">
        <f t="shared" si="16"/>
        <v>0</v>
      </c>
      <c r="T47" s="88">
        <f t="shared" si="17"/>
        <v>0</v>
      </c>
      <c r="U47" s="88">
        <f t="shared" si="18"/>
        <v>0</v>
      </c>
      <c r="V47" s="103">
        <f>'CHP &amp; Energy'!I31</f>
        <v>85000</v>
      </c>
      <c r="W47" s="123">
        <f>'CHP &amp; Energy'!E31</f>
        <v>0</v>
      </c>
      <c r="X47" s="89">
        <f>'CHP &amp; Energy'!L31</f>
        <v>152000</v>
      </c>
      <c r="Y47" s="88">
        <f>'CHP &amp; Energy'!E31</f>
        <v>0</v>
      </c>
      <c r="Z47" s="88">
        <f>'CHP &amp; Energy'!L31</f>
        <v>152000</v>
      </c>
      <c r="AB47" s="58"/>
      <c r="AC47" s="59"/>
      <c r="AD47" s="59"/>
      <c r="AE47" s="59"/>
      <c r="AF47" s="59"/>
      <c r="AG47" s="152"/>
      <c r="AI47" s="58"/>
      <c r="AJ47" s="152"/>
    </row>
    <row r="48" spans="1:36">
      <c r="B48" s="37" t="s">
        <v>47</v>
      </c>
      <c r="C48" s="89">
        <f t="shared" si="6"/>
        <v>0</v>
      </c>
      <c r="D48" s="89">
        <f t="shared" si="7"/>
        <v>0</v>
      </c>
      <c r="E48" s="89">
        <f t="shared" si="8"/>
        <v>0</v>
      </c>
      <c r="F48" s="89">
        <f t="shared" si="9"/>
        <v>0</v>
      </c>
      <c r="G48" s="88">
        <f t="shared" si="10"/>
        <v>0</v>
      </c>
      <c r="H48" s="88">
        <f t="shared" si="11"/>
        <v>0</v>
      </c>
      <c r="I48" s="88">
        <f t="shared" si="12"/>
        <v>0</v>
      </c>
      <c r="J48" s="88">
        <f t="shared" si="13"/>
        <v>0</v>
      </c>
      <c r="K48" s="99">
        <f t="shared" ref="K48:P48" si="20">K31</f>
        <v>0</v>
      </c>
      <c r="L48" s="100">
        <f t="shared" si="20"/>
        <v>0</v>
      </c>
      <c r="M48" s="100">
        <f t="shared" si="20"/>
        <v>0</v>
      </c>
      <c r="N48" s="100">
        <f t="shared" si="20"/>
        <v>470</v>
      </c>
      <c r="O48" s="100">
        <f t="shared" si="20"/>
        <v>470</v>
      </c>
      <c r="P48" s="100">
        <f t="shared" si="20"/>
        <v>470</v>
      </c>
      <c r="R48" s="89">
        <f t="shared" si="15"/>
        <v>0</v>
      </c>
      <c r="S48" s="89">
        <f t="shared" si="16"/>
        <v>0</v>
      </c>
      <c r="T48" s="88">
        <f t="shared" si="17"/>
        <v>0</v>
      </c>
      <c r="U48" s="88">
        <f t="shared" si="18"/>
        <v>0</v>
      </c>
      <c r="V48" s="103">
        <f>'CHP &amp; Energy'!I32</f>
        <v>85000</v>
      </c>
      <c r="W48" s="123">
        <f>'CHP &amp; Energy'!E32</f>
        <v>0</v>
      </c>
      <c r="X48" s="89">
        <f>'CHP &amp; Energy'!L32</f>
        <v>152000</v>
      </c>
      <c r="Y48" s="88">
        <f>'CHP &amp; Energy'!E32</f>
        <v>0</v>
      </c>
      <c r="Z48" s="88">
        <f>'CHP &amp; Energy'!L32</f>
        <v>152000</v>
      </c>
      <c r="AB48" s="153"/>
      <c r="AC48" s="154"/>
      <c r="AD48" s="154"/>
      <c r="AE48" s="154"/>
      <c r="AF48" s="154"/>
      <c r="AG48" s="155"/>
      <c r="AI48" s="153"/>
      <c r="AJ48" s="155"/>
    </row>
    <row r="49" spans="1:37">
      <c r="B49" s="37"/>
      <c r="C49" s="89"/>
      <c r="D49" s="89"/>
      <c r="E49" s="89"/>
      <c r="F49" s="89"/>
      <c r="G49" s="88"/>
      <c r="H49" s="88"/>
      <c r="I49" s="88"/>
      <c r="J49" s="88"/>
      <c r="K49" s="100"/>
      <c r="L49" s="100"/>
      <c r="M49" s="100"/>
      <c r="N49" s="100"/>
      <c r="O49" s="100"/>
      <c r="P49" s="100"/>
      <c r="R49" s="89"/>
      <c r="S49" s="89"/>
      <c r="T49" s="88"/>
      <c r="U49" s="88"/>
      <c r="V49" s="89"/>
      <c r="W49" s="89"/>
      <c r="X49" s="89"/>
      <c r="Y49" s="88"/>
      <c r="Z49" s="88"/>
    </row>
    <row r="50" spans="1:37">
      <c r="B50" s="37"/>
      <c r="F50" s="40"/>
      <c r="G50" s="40"/>
      <c r="H50" s="40"/>
      <c r="I50" s="40"/>
      <c r="R50" s="89"/>
    </row>
    <row r="51" spans="1:37" ht="13">
      <c r="B51" s="35" t="s">
        <v>115</v>
      </c>
      <c r="C51" s="43"/>
      <c r="D51" s="43"/>
      <c r="E51" s="43"/>
      <c r="F51" s="43"/>
      <c r="G51" s="43"/>
      <c r="H51" s="43"/>
      <c r="I51" s="43"/>
      <c r="J51" s="43"/>
      <c r="K51" s="122" t="s">
        <v>129</v>
      </c>
      <c r="L51" s="43"/>
      <c r="M51" s="43"/>
      <c r="R51" s="122" t="s">
        <v>130</v>
      </c>
      <c r="AB51" s="218" t="s">
        <v>185</v>
      </c>
      <c r="AI51" s="122" t="s">
        <v>211</v>
      </c>
    </row>
    <row r="52" spans="1:37">
      <c r="B52" s="117" t="s">
        <v>37</v>
      </c>
      <c r="C52" s="41">
        <f t="shared" ref="C52:P52" si="21">C37*C6</f>
        <v>0</v>
      </c>
      <c r="D52" s="41">
        <f t="shared" si="21"/>
        <v>0</v>
      </c>
      <c r="E52" s="41">
        <f t="shared" si="21"/>
        <v>0</v>
      </c>
      <c r="F52" s="41">
        <f t="shared" si="21"/>
        <v>0</v>
      </c>
      <c r="G52" s="41">
        <f t="shared" si="21"/>
        <v>0</v>
      </c>
      <c r="H52" s="41">
        <f t="shared" si="21"/>
        <v>0</v>
      </c>
      <c r="I52" s="41">
        <f t="shared" si="21"/>
        <v>0</v>
      </c>
      <c r="J52" s="41">
        <f t="shared" si="21"/>
        <v>0</v>
      </c>
      <c r="K52" s="99">
        <f t="shared" si="21"/>
        <v>0</v>
      </c>
      <c r="L52" s="41">
        <f t="shared" si="21"/>
        <v>0</v>
      </c>
      <c r="M52" s="41">
        <f t="shared" si="21"/>
        <v>0</v>
      </c>
      <c r="N52" s="41">
        <f t="shared" si="21"/>
        <v>0</v>
      </c>
      <c r="O52" s="41">
        <f t="shared" si="21"/>
        <v>3825.8</v>
      </c>
      <c r="P52" s="41">
        <f t="shared" si="21"/>
        <v>1663.8</v>
      </c>
      <c r="R52" s="41">
        <f t="shared" ref="R52:Z52" si="22">R37*R6</f>
        <v>0</v>
      </c>
      <c r="S52" s="41">
        <f t="shared" si="22"/>
        <v>0</v>
      </c>
      <c r="T52" s="41">
        <f t="shared" si="22"/>
        <v>0</v>
      </c>
      <c r="U52" s="41">
        <f t="shared" si="22"/>
        <v>0</v>
      </c>
      <c r="V52" s="103">
        <f t="shared" si="22"/>
        <v>0</v>
      </c>
      <c r="W52" s="89">
        <f t="shared" si="22"/>
        <v>0</v>
      </c>
      <c r="X52" s="89">
        <f t="shared" si="22"/>
        <v>881.59999999999991</v>
      </c>
      <c r="Y52" s="88">
        <f t="shared" si="22"/>
        <v>0</v>
      </c>
      <c r="Z52" s="88">
        <f t="shared" si="22"/>
        <v>881.59999999999991</v>
      </c>
      <c r="AB52" s="41">
        <f t="shared" ref="AB52:AJ52" si="23">AB20*AB6</f>
        <v>0</v>
      </c>
      <c r="AC52" s="41">
        <f>AC20*AC6</f>
        <v>705</v>
      </c>
      <c r="AD52" s="41">
        <f t="shared" si="23"/>
        <v>0</v>
      </c>
      <c r="AE52" s="41">
        <f t="shared" si="23"/>
        <v>680</v>
      </c>
      <c r="AF52" s="41">
        <f t="shared" si="23"/>
        <v>335</v>
      </c>
      <c r="AG52" s="41">
        <f t="shared" si="23"/>
        <v>0</v>
      </c>
      <c r="AI52" s="41">
        <f t="shared" si="23"/>
        <v>258.40000000000003</v>
      </c>
      <c r="AJ52" s="41">
        <f t="shared" si="23"/>
        <v>91.199999999999989</v>
      </c>
      <c r="AK52" s="41"/>
    </row>
    <row r="53" spans="1:37">
      <c r="B53" s="118" t="s">
        <v>38</v>
      </c>
      <c r="C53" s="41">
        <f t="shared" ref="C53:P53" si="24">C38*C7</f>
        <v>0</v>
      </c>
      <c r="D53" s="41">
        <f t="shared" si="24"/>
        <v>0</v>
      </c>
      <c r="E53" s="41">
        <f t="shared" si="24"/>
        <v>0</v>
      </c>
      <c r="F53" s="41">
        <f t="shared" si="24"/>
        <v>0</v>
      </c>
      <c r="G53" s="41">
        <f t="shared" si="24"/>
        <v>0</v>
      </c>
      <c r="H53" s="41">
        <f t="shared" si="24"/>
        <v>0</v>
      </c>
      <c r="I53" s="41">
        <f t="shared" si="24"/>
        <v>0</v>
      </c>
      <c r="J53" s="41">
        <f t="shared" si="24"/>
        <v>0</v>
      </c>
      <c r="K53" s="99">
        <f t="shared" si="24"/>
        <v>0</v>
      </c>
      <c r="L53" s="41">
        <f t="shared" si="24"/>
        <v>0</v>
      </c>
      <c r="M53" s="41">
        <f t="shared" si="24"/>
        <v>0</v>
      </c>
      <c r="N53" s="41">
        <f t="shared" si="24"/>
        <v>0</v>
      </c>
      <c r="O53" s="41">
        <f t="shared" si="24"/>
        <v>3825.8</v>
      </c>
      <c r="P53" s="41">
        <f t="shared" si="24"/>
        <v>1663.8</v>
      </c>
      <c r="R53" s="41">
        <f t="shared" ref="R53:Z53" si="25">R38*R7</f>
        <v>0</v>
      </c>
      <c r="S53" s="41">
        <f t="shared" si="25"/>
        <v>0</v>
      </c>
      <c r="T53" s="41">
        <f t="shared" si="25"/>
        <v>0</v>
      </c>
      <c r="U53" s="41">
        <f t="shared" si="25"/>
        <v>0</v>
      </c>
      <c r="V53" s="103">
        <f t="shared" si="25"/>
        <v>0</v>
      </c>
      <c r="W53" s="89">
        <f t="shared" si="25"/>
        <v>0</v>
      </c>
      <c r="X53" s="89">
        <f t="shared" si="25"/>
        <v>881.59999999999991</v>
      </c>
      <c r="Y53" s="88">
        <f t="shared" si="25"/>
        <v>0</v>
      </c>
      <c r="Z53" s="88">
        <f t="shared" si="25"/>
        <v>881.59999999999991</v>
      </c>
      <c r="AB53" s="41">
        <f t="shared" ref="AB53:AF63" si="26">AB21*AB7</f>
        <v>0</v>
      </c>
      <c r="AC53" s="41">
        <f t="shared" si="26"/>
        <v>705</v>
      </c>
      <c r="AD53" s="41">
        <f t="shared" si="26"/>
        <v>0</v>
      </c>
      <c r="AE53" s="41">
        <f t="shared" si="26"/>
        <v>680</v>
      </c>
      <c r="AF53" s="41">
        <f t="shared" si="26"/>
        <v>335</v>
      </c>
      <c r="AG53" s="41">
        <f t="shared" ref="AG53:AG63" si="27">AG21*AG7</f>
        <v>0</v>
      </c>
      <c r="AI53" s="41">
        <f t="shared" ref="AI53:AJ63" si="28">AI21*AI7</f>
        <v>258.40000000000003</v>
      </c>
      <c r="AJ53" s="41">
        <f t="shared" si="28"/>
        <v>91.199999999999989</v>
      </c>
      <c r="AK53" s="41"/>
    </row>
    <row r="54" spans="1:37">
      <c r="A54" s="38"/>
      <c r="B54" s="117" t="s">
        <v>39</v>
      </c>
      <c r="C54" s="41">
        <f t="shared" ref="C54:P54" si="29">C39*C8</f>
        <v>0</v>
      </c>
      <c r="D54" s="41">
        <f t="shared" si="29"/>
        <v>0</v>
      </c>
      <c r="E54" s="41">
        <f t="shared" si="29"/>
        <v>0</v>
      </c>
      <c r="F54" s="41">
        <f t="shared" si="29"/>
        <v>0</v>
      </c>
      <c r="G54" s="41">
        <f t="shared" si="29"/>
        <v>0</v>
      </c>
      <c r="H54" s="41">
        <f t="shared" si="29"/>
        <v>0</v>
      </c>
      <c r="I54" s="41">
        <f t="shared" si="29"/>
        <v>0</v>
      </c>
      <c r="J54" s="41">
        <f t="shared" si="29"/>
        <v>0</v>
      </c>
      <c r="K54" s="99">
        <f t="shared" si="29"/>
        <v>0</v>
      </c>
      <c r="L54" s="41">
        <f t="shared" si="29"/>
        <v>0</v>
      </c>
      <c r="M54" s="41">
        <f t="shared" si="29"/>
        <v>0</v>
      </c>
      <c r="N54" s="41">
        <f t="shared" si="29"/>
        <v>0</v>
      </c>
      <c r="O54" s="41">
        <f t="shared" si="29"/>
        <v>3825.8</v>
      </c>
      <c r="P54" s="41">
        <f t="shared" si="29"/>
        <v>1663.8</v>
      </c>
      <c r="R54" s="41">
        <f t="shared" ref="R54:Z54" si="30">R39*R8</f>
        <v>0</v>
      </c>
      <c r="S54" s="41">
        <f t="shared" si="30"/>
        <v>0</v>
      </c>
      <c r="T54" s="41">
        <f t="shared" si="30"/>
        <v>0</v>
      </c>
      <c r="U54" s="41">
        <f t="shared" si="30"/>
        <v>0</v>
      </c>
      <c r="V54" s="103">
        <f t="shared" si="30"/>
        <v>0</v>
      </c>
      <c r="W54" s="89">
        <f t="shared" si="30"/>
        <v>0</v>
      </c>
      <c r="X54" s="89">
        <f t="shared" si="30"/>
        <v>881.59999999999991</v>
      </c>
      <c r="Y54" s="88">
        <f t="shared" si="30"/>
        <v>0</v>
      </c>
      <c r="Z54" s="88">
        <f t="shared" si="30"/>
        <v>881.59999999999991</v>
      </c>
      <c r="AB54" s="41">
        <f t="shared" si="26"/>
        <v>0</v>
      </c>
      <c r="AC54" s="41">
        <f t="shared" si="26"/>
        <v>705</v>
      </c>
      <c r="AD54" s="41">
        <f t="shared" si="26"/>
        <v>0</v>
      </c>
      <c r="AE54" s="41">
        <f t="shared" si="26"/>
        <v>680</v>
      </c>
      <c r="AF54" s="41">
        <f t="shared" si="26"/>
        <v>335</v>
      </c>
      <c r="AG54" s="41">
        <f t="shared" si="27"/>
        <v>0</v>
      </c>
      <c r="AI54" s="41">
        <f t="shared" si="28"/>
        <v>258.40000000000003</v>
      </c>
      <c r="AJ54" s="41">
        <f t="shared" si="28"/>
        <v>91.199999999999989</v>
      </c>
      <c r="AK54" s="41"/>
    </row>
    <row r="55" spans="1:37">
      <c r="A55" s="38"/>
      <c r="B55" s="118" t="s">
        <v>40</v>
      </c>
      <c r="C55" s="41">
        <f t="shared" ref="C55:P55" si="31">C40*C9</f>
        <v>0</v>
      </c>
      <c r="D55" s="41">
        <f t="shared" si="31"/>
        <v>0</v>
      </c>
      <c r="E55" s="41">
        <f t="shared" si="31"/>
        <v>0</v>
      </c>
      <c r="F55" s="41">
        <f t="shared" si="31"/>
        <v>0</v>
      </c>
      <c r="G55" s="41">
        <f t="shared" si="31"/>
        <v>0</v>
      </c>
      <c r="H55" s="41">
        <f t="shared" si="31"/>
        <v>0</v>
      </c>
      <c r="I55" s="41">
        <f t="shared" si="31"/>
        <v>0</v>
      </c>
      <c r="J55" s="41">
        <f t="shared" si="31"/>
        <v>0</v>
      </c>
      <c r="K55" s="99">
        <f t="shared" si="31"/>
        <v>0</v>
      </c>
      <c r="L55" s="41">
        <f t="shared" si="31"/>
        <v>0</v>
      </c>
      <c r="M55" s="41">
        <f t="shared" si="31"/>
        <v>0</v>
      </c>
      <c r="N55" s="41">
        <f t="shared" si="31"/>
        <v>0</v>
      </c>
      <c r="O55" s="41">
        <f t="shared" si="31"/>
        <v>3744.4</v>
      </c>
      <c r="P55" s="41">
        <f t="shared" si="31"/>
        <v>1628.4</v>
      </c>
      <c r="R55" s="41">
        <f t="shared" ref="R55:Z55" si="32">R40*R9</f>
        <v>0</v>
      </c>
      <c r="S55" s="41">
        <f t="shared" si="32"/>
        <v>0</v>
      </c>
      <c r="T55" s="41">
        <f t="shared" si="32"/>
        <v>0</v>
      </c>
      <c r="U55" s="41">
        <f t="shared" si="32"/>
        <v>0</v>
      </c>
      <c r="V55" s="103">
        <f t="shared" si="32"/>
        <v>0</v>
      </c>
      <c r="W55" s="89">
        <f t="shared" si="32"/>
        <v>0</v>
      </c>
      <c r="X55" s="89">
        <f t="shared" si="32"/>
        <v>1125.1999999999998</v>
      </c>
      <c r="Y55" s="88">
        <f t="shared" si="32"/>
        <v>0</v>
      </c>
      <c r="Z55" s="88">
        <f t="shared" si="32"/>
        <v>1125.1999999999998</v>
      </c>
      <c r="AB55" s="41">
        <f t="shared" si="26"/>
        <v>0</v>
      </c>
      <c r="AC55" s="41">
        <f t="shared" si="26"/>
        <v>690</v>
      </c>
      <c r="AD55" s="41">
        <f t="shared" si="26"/>
        <v>0</v>
      </c>
      <c r="AE55" s="41">
        <f t="shared" si="26"/>
        <v>1152</v>
      </c>
      <c r="AF55" s="41">
        <f t="shared" si="26"/>
        <v>250</v>
      </c>
      <c r="AG55" s="41">
        <f t="shared" si="27"/>
        <v>0</v>
      </c>
      <c r="AI55" s="41">
        <f t="shared" si="28"/>
        <v>329.8</v>
      </c>
      <c r="AJ55" s="41">
        <f t="shared" si="28"/>
        <v>116.39999999999999</v>
      </c>
      <c r="AK55" s="41"/>
    </row>
    <row r="56" spans="1:37">
      <c r="A56" s="38"/>
      <c r="B56" s="117" t="s">
        <v>7</v>
      </c>
      <c r="C56" s="41">
        <f t="shared" ref="C56:P56" si="33">C41*C10</f>
        <v>0</v>
      </c>
      <c r="D56" s="41">
        <f t="shared" si="33"/>
        <v>0</v>
      </c>
      <c r="E56" s="41">
        <f t="shared" si="33"/>
        <v>0</v>
      </c>
      <c r="F56" s="41">
        <f t="shared" si="33"/>
        <v>0</v>
      </c>
      <c r="G56" s="41">
        <f t="shared" si="33"/>
        <v>0</v>
      </c>
      <c r="H56" s="41">
        <f t="shared" si="33"/>
        <v>0</v>
      </c>
      <c r="I56" s="41">
        <f t="shared" si="33"/>
        <v>0</v>
      </c>
      <c r="J56" s="41">
        <f t="shared" si="33"/>
        <v>0</v>
      </c>
      <c r="K56" s="99">
        <f t="shared" si="33"/>
        <v>0</v>
      </c>
      <c r="L56" s="41">
        <f t="shared" si="33"/>
        <v>0</v>
      </c>
      <c r="M56" s="41">
        <f t="shared" si="33"/>
        <v>0</v>
      </c>
      <c r="N56" s="41">
        <f t="shared" si="33"/>
        <v>0</v>
      </c>
      <c r="O56" s="41">
        <f t="shared" si="33"/>
        <v>4070.0000000000005</v>
      </c>
      <c r="P56" s="41">
        <f t="shared" si="33"/>
        <v>1770</v>
      </c>
      <c r="R56" s="41">
        <f t="shared" ref="R56:Z56" si="34">R41*R10</f>
        <v>0</v>
      </c>
      <c r="S56" s="41">
        <f t="shared" si="34"/>
        <v>0</v>
      </c>
      <c r="T56" s="41">
        <f t="shared" si="34"/>
        <v>0</v>
      </c>
      <c r="U56" s="41">
        <f t="shared" si="34"/>
        <v>0</v>
      </c>
      <c r="V56" s="103">
        <f t="shared" si="34"/>
        <v>0</v>
      </c>
      <c r="W56" s="89">
        <f t="shared" si="34"/>
        <v>0</v>
      </c>
      <c r="X56" s="89">
        <f t="shared" si="34"/>
        <v>916.4</v>
      </c>
      <c r="Y56" s="88">
        <f t="shared" si="34"/>
        <v>0</v>
      </c>
      <c r="Z56" s="88">
        <f t="shared" si="34"/>
        <v>916.4</v>
      </c>
      <c r="AB56" s="41">
        <f t="shared" si="26"/>
        <v>0</v>
      </c>
      <c r="AC56" s="41">
        <f t="shared" si="26"/>
        <v>750</v>
      </c>
      <c r="AD56" s="41">
        <f t="shared" si="26"/>
        <v>0</v>
      </c>
      <c r="AE56" s="41">
        <f t="shared" si="26"/>
        <v>864</v>
      </c>
      <c r="AF56" s="41">
        <f t="shared" si="26"/>
        <v>250</v>
      </c>
      <c r="AG56" s="41">
        <f t="shared" si="27"/>
        <v>0</v>
      </c>
      <c r="AI56" s="41">
        <f t="shared" si="28"/>
        <v>268.60000000000002</v>
      </c>
      <c r="AJ56" s="41">
        <f t="shared" si="28"/>
        <v>94.8</v>
      </c>
      <c r="AK56" s="41"/>
    </row>
    <row r="57" spans="1:37">
      <c r="B57" s="118" t="s">
        <v>41</v>
      </c>
      <c r="C57" s="41">
        <f t="shared" ref="C57:P57" si="35">C42*C11</f>
        <v>0</v>
      </c>
      <c r="D57" s="41">
        <f t="shared" si="35"/>
        <v>0</v>
      </c>
      <c r="E57" s="41">
        <f t="shared" si="35"/>
        <v>0</v>
      </c>
      <c r="F57" s="41">
        <f t="shared" si="35"/>
        <v>0</v>
      </c>
      <c r="G57" s="41">
        <f t="shared" si="35"/>
        <v>0</v>
      </c>
      <c r="H57" s="41">
        <f t="shared" si="35"/>
        <v>0</v>
      </c>
      <c r="I57" s="41">
        <f t="shared" si="35"/>
        <v>0</v>
      </c>
      <c r="J57" s="41">
        <f t="shared" si="35"/>
        <v>0</v>
      </c>
      <c r="K57" s="99">
        <f t="shared" si="35"/>
        <v>2935.86</v>
      </c>
      <c r="L57" s="41">
        <f t="shared" si="35"/>
        <v>5556.09</v>
      </c>
      <c r="M57" s="41">
        <f t="shared" si="35"/>
        <v>5480.94</v>
      </c>
      <c r="N57" s="41">
        <f t="shared" si="35"/>
        <v>0</v>
      </c>
      <c r="O57" s="41">
        <f t="shared" si="35"/>
        <v>0</v>
      </c>
      <c r="P57" s="41">
        <f t="shared" si="35"/>
        <v>0</v>
      </c>
      <c r="R57" s="41">
        <f t="shared" ref="R57:Z57" si="36">R42*R11</f>
        <v>0</v>
      </c>
      <c r="S57" s="41">
        <f t="shared" si="36"/>
        <v>0</v>
      </c>
      <c r="T57" s="41">
        <f t="shared" si="36"/>
        <v>0</v>
      </c>
      <c r="U57" s="41">
        <f t="shared" si="36"/>
        <v>0</v>
      </c>
      <c r="V57" s="103">
        <f t="shared" si="36"/>
        <v>0</v>
      </c>
      <c r="W57" s="89">
        <f t="shared" si="36"/>
        <v>0</v>
      </c>
      <c r="X57" s="89">
        <f t="shared" si="36"/>
        <v>916.4</v>
      </c>
      <c r="Y57" s="88">
        <f t="shared" si="36"/>
        <v>0</v>
      </c>
      <c r="Z57" s="88">
        <f t="shared" si="36"/>
        <v>916.4</v>
      </c>
      <c r="AB57" s="41">
        <f t="shared" si="26"/>
        <v>616.23</v>
      </c>
      <c r="AC57" s="41">
        <f t="shared" si="26"/>
        <v>751.5</v>
      </c>
      <c r="AD57" s="41">
        <f t="shared" si="26"/>
        <v>0</v>
      </c>
      <c r="AE57" s="41">
        <f t="shared" si="26"/>
        <v>864</v>
      </c>
      <c r="AF57" s="41">
        <f t="shared" si="26"/>
        <v>250</v>
      </c>
      <c r="AG57" s="41">
        <f t="shared" si="27"/>
        <v>0</v>
      </c>
      <c r="AI57" s="41">
        <f t="shared" si="28"/>
        <v>268.60000000000002</v>
      </c>
      <c r="AJ57" s="41">
        <f t="shared" si="28"/>
        <v>94.8</v>
      </c>
      <c r="AK57" s="41"/>
    </row>
    <row r="58" spans="1:37">
      <c r="B58" s="117" t="s">
        <v>42</v>
      </c>
      <c r="C58" s="41">
        <f t="shared" ref="C58:P58" si="37">C43*C12</f>
        <v>0</v>
      </c>
      <c r="D58" s="41">
        <f t="shared" si="37"/>
        <v>0</v>
      </c>
      <c r="E58" s="41">
        <f t="shared" si="37"/>
        <v>0</v>
      </c>
      <c r="F58" s="41">
        <f t="shared" si="37"/>
        <v>0</v>
      </c>
      <c r="G58" s="41">
        <f t="shared" si="37"/>
        <v>0</v>
      </c>
      <c r="H58" s="41">
        <f t="shared" si="37"/>
        <v>0</v>
      </c>
      <c r="I58" s="41">
        <f t="shared" si="37"/>
        <v>0</v>
      </c>
      <c r="J58" s="41">
        <f t="shared" si="37"/>
        <v>0</v>
      </c>
      <c r="K58" s="99">
        <f t="shared" si="37"/>
        <v>5865.8600000000006</v>
      </c>
      <c r="L58" s="41">
        <f t="shared" si="37"/>
        <v>11101.09</v>
      </c>
      <c r="M58" s="41">
        <f t="shared" si="37"/>
        <v>10950.939999999999</v>
      </c>
      <c r="N58" s="41">
        <f t="shared" si="37"/>
        <v>0</v>
      </c>
      <c r="O58" s="41">
        <f t="shared" si="37"/>
        <v>0</v>
      </c>
      <c r="P58" s="41">
        <f t="shared" si="37"/>
        <v>0</v>
      </c>
      <c r="R58" s="41">
        <f t="shared" ref="R58:Z58" si="38">R43*R12</f>
        <v>0</v>
      </c>
      <c r="S58" s="41">
        <f t="shared" si="38"/>
        <v>0</v>
      </c>
      <c r="T58" s="41">
        <f t="shared" si="38"/>
        <v>0</v>
      </c>
      <c r="U58" s="41">
        <f t="shared" si="38"/>
        <v>0</v>
      </c>
      <c r="V58" s="103">
        <f t="shared" si="38"/>
        <v>0</v>
      </c>
      <c r="W58" s="89">
        <f t="shared" si="38"/>
        <v>0</v>
      </c>
      <c r="X58" s="89">
        <f t="shared" si="38"/>
        <v>916.4</v>
      </c>
      <c r="Y58" s="88">
        <f t="shared" si="38"/>
        <v>0</v>
      </c>
      <c r="Z58" s="88">
        <f t="shared" si="38"/>
        <v>916.4</v>
      </c>
      <c r="AB58" s="41">
        <f t="shared" si="26"/>
        <v>1231.23</v>
      </c>
      <c r="AC58" s="41">
        <f t="shared" si="26"/>
        <v>1501.5</v>
      </c>
      <c r="AD58" s="41">
        <f t="shared" si="26"/>
        <v>0</v>
      </c>
      <c r="AE58" s="41">
        <f t="shared" si="26"/>
        <v>864</v>
      </c>
      <c r="AF58" s="41">
        <f t="shared" si="26"/>
        <v>250</v>
      </c>
      <c r="AG58" s="41">
        <f t="shared" si="27"/>
        <v>0</v>
      </c>
      <c r="AI58" s="41">
        <f t="shared" si="28"/>
        <v>268.60000000000002</v>
      </c>
      <c r="AJ58" s="41">
        <f t="shared" si="28"/>
        <v>94.8</v>
      </c>
      <c r="AK58" s="41"/>
    </row>
    <row r="59" spans="1:37">
      <c r="B59" s="118" t="s">
        <v>43</v>
      </c>
      <c r="C59" s="41">
        <f t="shared" ref="C59:P59" si="39">C44*C13</f>
        <v>0</v>
      </c>
      <c r="D59" s="41">
        <f t="shared" si="39"/>
        <v>0</v>
      </c>
      <c r="E59" s="41">
        <f t="shared" si="39"/>
        <v>0</v>
      </c>
      <c r="F59" s="41">
        <f t="shared" si="39"/>
        <v>0</v>
      </c>
      <c r="G59" s="41">
        <f t="shared" si="39"/>
        <v>0</v>
      </c>
      <c r="H59" s="41">
        <f t="shared" si="39"/>
        <v>0</v>
      </c>
      <c r="I59" s="41">
        <f t="shared" si="39"/>
        <v>0</v>
      </c>
      <c r="J59" s="41">
        <f t="shared" si="39"/>
        <v>0</v>
      </c>
      <c r="K59" s="99">
        <f t="shared" si="39"/>
        <v>2930</v>
      </c>
      <c r="L59" s="41">
        <f t="shared" si="39"/>
        <v>5545</v>
      </c>
      <c r="M59" s="41">
        <f t="shared" si="39"/>
        <v>5470</v>
      </c>
      <c r="N59" s="41">
        <f t="shared" si="39"/>
        <v>0</v>
      </c>
      <c r="O59" s="41">
        <f t="shared" si="39"/>
        <v>0</v>
      </c>
      <c r="P59" s="41">
        <f t="shared" si="39"/>
        <v>0</v>
      </c>
      <c r="R59" s="41">
        <f t="shared" ref="R59:Z59" si="40">R44*R13</f>
        <v>0</v>
      </c>
      <c r="S59" s="41">
        <f t="shared" si="40"/>
        <v>0</v>
      </c>
      <c r="T59" s="41">
        <f t="shared" si="40"/>
        <v>0</v>
      </c>
      <c r="U59" s="41">
        <f t="shared" si="40"/>
        <v>0</v>
      </c>
      <c r="V59" s="103">
        <f t="shared" si="40"/>
        <v>0</v>
      </c>
      <c r="W59" s="89">
        <f t="shared" si="40"/>
        <v>0</v>
      </c>
      <c r="X59" s="89">
        <f t="shared" si="40"/>
        <v>916.4</v>
      </c>
      <c r="Y59" s="88">
        <f t="shared" si="40"/>
        <v>0</v>
      </c>
      <c r="Z59" s="88">
        <f t="shared" si="40"/>
        <v>916.4</v>
      </c>
      <c r="AB59" s="41">
        <f t="shared" si="26"/>
        <v>615</v>
      </c>
      <c r="AC59" s="41">
        <f t="shared" si="26"/>
        <v>750</v>
      </c>
      <c r="AD59" s="41">
        <f t="shared" si="26"/>
        <v>0</v>
      </c>
      <c r="AE59" s="41">
        <f t="shared" si="26"/>
        <v>864</v>
      </c>
      <c r="AF59" s="41">
        <f t="shared" si="26"/>
        <v>250</v>
      </c>
      <c r="AG59" s="41">
        <f t="shared" si="27"/>
        <v>0</v>
      </c>
      <c r="AI59" s="41">
        <f t="shared" si="28"/>
        <v>268.60000000000002</v>
      </c>
      <c r="AJ59" s="41">
        <f t="shared" si="28"/>
        <v>94.8</v>
      </c>
      <c r="AK59" s="41"/>
    </row>
    <row r="60" spans="1:37">
      <c r="B60" s="117" t="s">
        <v>44</v>
      </c>
      <c r="C60" s="41">
        <f t="shared" ref="C60:P60" si="41">C45*C14</f>
        <v>0</v>
      </c>
      <c r="D60" s="41">
        <f t="shared" si="41"/>
        <v>0</v>
      </c>
      <c r="E60" s="41">
        <f t="shared" si="41"/>
        <v>0</v>
      </c>
      <c r="F60" s="41">
        <f t="shared" si="41"/>
        <v>0</v>
      </c>
      <c r="G60" s="41">
        <f t="shared" si="41"/>
        <v>0</v>
      </c>
      <c r="H60" s="41">
        <f t="shared" si="41"/>
        <v>0</v>
      </c>
      <c r="I60" s="41">
        <f t="shared" si="41"/>
        <v>0</v>
      </c>
      <c r="J60" s="41">
        <f t="shared" si="41"/>
        <v>0</v>
      </c>
      <c r="K60" s="99">
        <f t="shared" si="41"/>
        <v>2930</v>
      </c>
      <c r="L60" s="41">
        <f t="shared" si="41"/>
        <v>5545</v>
      </c>
      <c r="M60" s="41">
        <f t="shared" si="41"/>
        <v>5470</v>
      </c>
      <c r="N60" s="41">
        <f t="shared" si="41"/>
        <v>0</v>
      </c>
      <c r="O60" s="41">
        <f t="shared" si="41"/>
        <v>0</v>
      </c>
      <c r="P60" s="41">
        <f t="shared" si="41"/>
        <v>0</v>
      </c>
      <c r="R60" s="41">
        <f t="shared" ref="R60:Z60" si="42">R45*R14</f>
        <v>0</v>
      </c>
      <c r="S60" s="41">
        <f t="shared" si="42"/>
        <v>0</v>
      </c>
      <c r="T60" s="41">
        <f t="shared" si="42"/>
        <v>0</v>
      </c>
      <c r="U60" s="41">
        <f t="shared" si="42"/>
        <v>0</v>
      </c>
      <c r="V60" s="103">
        <f t="shared" si="42"/>
        <v>0</v>
      </c>
      <c r="W60" s="89">
        <f t="shared" si="42"/>
        <v>0</v>
      </c>
      <c r="X60" s="89">
        <f t="shared" si="42"/>
        <v>916.4</v>
      </c>
      <c r="Y60" s="88">
        <f t="shared" si="42"/>
        <v>0</v>
      </c>
      <c r="Z60" s="88">
        <f t="shared" si="42"/>
        <v>916.4</v>
      </c>
      <c r="AB60" s="41">
        <f t="shared" si="26"/>
        <v>615</v>
      </c>
      <c r="AC60" s="41">
        <f t="shared" si="26"/>
        <v>750</v>
      </c>
      <c r="AD60" s="41">
        <f t="shared" si="26"/>
        <v>0</v>
      </c>
      <c r="AE60" s="41">
        <f t="shared" si="26"/>
        <v>864</v>
      </c>
      <c r="AF60" s="41">
        <f t="shared" si="26"/>
        <v>250</v>
      </c>
      <c r="AG60" s="41">
        <f t="shared" si="27"/>
        <v>0</v>
      </c>
      <c r="AI60" s="41">
        <f t="shared" si="28"/>
        <v>268.60000000000002</v>
      </c>
      <c r="AJ60" s="41">
        <f t="shared" si="28"/>
        <v>94.8</v>
      </c>
      <c r="AK60" s="41"/>
    </row>
    <row r="61" spans="1:37">
      <c r="B61" s="118" t="s">
        <v>45</v>
      </c>
      <c r="C61" s="41">
        <f t="shared" ref="C61:P61" si="43">C46*C15</f>
        <v>0</v>
      </c>
      <c r="D61" s="41">
        <f t="shared" si="43"/>
        <v>0</v>
      </c>
      <c r="E61" s="41">
        <f t="shared" si="43"/>
        <v>0</v>
      </c>
      <c r="F61" s="41">
        <f t="shared" si="43"/>
        <v>0</v>
      </c>
      <c r="G61" s="41">
        <f t="shared" si="43"/>
        <v>0</v>
      </c>
      <c r="H61" s="41">
        <f t="shared" si="43"/>
        <v>0</v>
      </c>
      <c r="I61" s="41">
        <f t="shared" si="43"/>
        <v>0</v>
      </c>
      <c r="J61" s="41">
        <f t="shared" si="43"/>
        <v>0</v>
      </c>
      <c r="K61" s="99">
        <f t="shared" si="43"/>
        <v>0</v>
      </c>
      <c r="L61" s="41">
        <f t="shared" si="43"/>
        <v>0</v>
      </c>
      <c r="M61" s="41">
        <f t="shared" si="43"/>
        <v>0</v>
      </c>
      <c r="N61" s="41">
        <f t="shared" si="43"/>
        <v>0</v>
      </c>
      <c r="O61" s="41">
        <f t="shared" si="43"/>
        <v>3744.4</v>
      </c>
      <c r="P61" s="41">
        <f t="shared" si="43"/>
        <v>1628.4</v>
      </c>
      <c r="R61" s="41">
        <f t="shared" ref="R61:Z61" si="44">R46*R15</f>
        <v>0</v>
      </c>
      <c r="S61" s="41">
        <f t="shared" si="44"/>
        <v>0</v>
      </c>
      <c r="T61" s="41">
        <f t="shared" si="44"/>
        <v>0</v>
      </c>
      <c r="U61" s="41">
        <f t="shared" si="44"/>
        <v>0</v>
      </c>
      <c r="V61" s="103">
        <f t="shared" si="44"/>
        <v>0</v>
      </c>
      <c r="W61" s="89">
        <f t="shared" si="44"/>
        <v>0</v>
      </c>
      <c r="X61" s="89">
        <f t="shared" si="44"/>
        <v>771.4</v>
      </c>
      <c r="Y61" s="88">
        <f t="shared" si="44"/>
        <v>0</v>
      </c>
      <c r="Z61" s="88">
        <f t="shared" si="44"/>
        <v>771.4</v>
      </c>
      <c r="AB61" s="41">
        <f t="shared" si="26"/>
        <v>0</v>
      </c>
      <c r="AC61" s="41">
        <f t="shared" si="26"/>
        <v>690</v>
      </c>
      <c r="AD61" s="41">
        <f t="shared" si="26"/>
        <v>0</v>
      </c>
      <c r="AE61" s="41">
        <f t="shared" si="26"/>
        <v>680</v>
      </c>
      <c r="AF61" s="41">
        <f t="shared" si="26"/>
        <v>240</v>
      </c>
      <c r="AG61" s="41">
        <f t="shared" si="27"/>
        <v>0</v>
      </c>
      <c r="AI61" s="41">
        <f t="shared" si="28"/>
        <v>226.10000000000002</v>
      </c>
      <c r="AJ61" s="41">
        <f t="shared" si="28"/>
        <v>79.8</v>
      </c>
      <c r="AK61" s="41"/>
    </row>
    <row r="62" spans="1:37">
      <c r="B62" s="117" t="s">
        <v>46</v>
      </c>
      <c r="C62" s="41">
        <f t="shared" ref="C62:P62" si="45">C47*C16</f>
        <v>0</v>
      </c>
      <c r="D62" s="41">
        <f t="shared" si="45"/>
        <v>0</v>
      </c>
      <c r="E62" s="41">
        <f t="shared" si="45"/>
        <v>0</v>
      </c>
      <c r="F62" s="41">
        <f t="shared" si="45"/>
        <v>0</v>
      </c>
      <c r="G62" s="41">
        <f t="shared" si="45"/>
        <v>0</v>
      </c>
      <c r="H62" s="41">
        <f t="shared" si="45"/>
        <v>0</v>
      </c>
      <c r="I62" s="41">
        <f t="shared" si="45"/>
        <v>0</v>
      </c>
      <c r="J62" s="41">
        <f t="shared" si="45"/>
        <v>0</v>
      </c>
      <c r="K62" s="99">
        <f t="shared" si="45"/>
        <v>0</v>
      </c>
      <c r="L62" s="41">
        <f t="shared" si="45"/>
        <v>0</v>
      </c>
      <c r="M62" s="41">
        <f t="shared" si="45"/>
        <v>0</v>
      </c>
      <c r="N62" s="41">
        <f t="shared" si="45"/>
        <v>0</v>
      </c>
      <c r="O62" s="41">
        <f t="shared" si="45"/>
        <v>3825.8</v>
      </c>
      <c r="P62" s="41">
        <f t="shared" si="45"/>
        <v>1663.8</v>
      </c>
      <c r="R62" s="41">
        <f t="shared" ref="R62:Z62" si="46">R47*R16</f>
        <v>0</v>
      </c>
      <c r="S62" s="41">
        <f t="shared" si="46"/>
        <v>0</v>
      </c>
      <c r="T62" s="41">
        <f t="shared" si="46"/>
        <v>0</v>
      </c>
      <c r="U62" s="41">
        <f t="shared" si="46"/>
        <v>0</v>
      </c>
      <c r="V62" s="103">
        <f t="shared" si="46"/>
        <v>0</v>
      </c>
      <c r="W62" s="89">
        <f t="shared" si="46"/>
        <v>0</v>
      </c>
      <c r="X62" s="89">
        <f t="shared" si="46"/>
        <v>881.59999999999991</v>
      </c>
      <c r="Y62" s="88">
        <f t="shared" si="46"/>
        <v>0</v>
      </c>
      <c r="Z62" s="88">
        <f t="shared" si="46"/>
        <v>881.59999999999991</v>
      </c>
      <c r="AB62" s="41">
        <f t="shared" si="26"/>
        <v>0</v>
      </c>
      <c r="AC62" s="41">
        <f t="shared" si="26"/>
        <v>705</v>
      </c>
      <c r="AD62" s="41">
        <f t="shared" si="26"/>
        <v>0</v>
      </c>
      <c r="AE62" s="41">
        <f t="shared" si="26"/>
        <v>680</v>
      </c>
      <c r="AF62" s="41">
        <f t="shared" si="26"/>
        <v>335</v>
      </c>
      <c r="AG62" s="41">
        <f t="shared" si="27"/>
        <v>0</v>
      </c>
      <c r="AI62" s="41">
        <f t="shared" si="28"/>
        <v>258.40000000000003</v>
      </c>
      <c r="AJ62" s="41">
        <f t="shared" si="28"/>
        <v>91.199999999999989</v>
      </c>
      <c r="AK62" s="41"/>
    </row>
    <row r="63" spans="1:37">
      <c r="B63" s="118" t="s">
        <v>47</v>
      </c>
      <c r="C63" s="41">
        <f t="shared" ref="C63:P63" si="47">C48*C17</f>
        <v>0</v>
      </c>
      <c r="D63" s="41">
        <f t="shared" si="47"/>
        <v>0</v>
      </c>
      <c r="E63" s="41">
        <f t="shared" si="47"/>
        <v>0</v>
      </c>
      <c r="F63" s="41">
        <f t="shared" si="47"/>
        <v>0</v>
      </c>
      <c r="G63" s="41">
        <f t="shared" si="47"/>
        <v>0</v>
      </c>
      <c r="H63" s="41">
        <f t="shared" si="47"/>
        <v>0</v>
      </c>
      <c r="I63" s="41">
        <f t="shared" si="47"/>
        <v>0</v>
      </c>
      <c r="J63" s="41">
        <f t="shared" si="47"/>
        <v>0</v>
      </c>
      <c r="K63" s="99">
        <f t="shared" si="47"/>
        <v>0</v>
      </c>
      <c r="L63" s="41">
        <f t="shared" si="47"/>
        <v>0</v>
      </c>
      <c r="M63" s="41">
        <f t="shared" si="47"/>
        <v>0</v>
      </c>
      <c r="N63" s="41">
        <f t="shared" si="47"/>
        <v>0</v>
      </c>
      <c r="O63" s="41">
        <f t="shared" si="47"/>
        <v>3825.8</v>
      </c>
      <c r="P63" s="41">
        <f t="shared" si="47"/>
        <v>1663.8</v>
      </c>
      <c r="R63" s="41">
        <f t="shared" ref="R63:Z63" si="48">R48*R17</f>
        <v>0</v>
      </c>
      <c r="S63" s="41">
        <f t="shared" si="48"/>
        <v>0</v>
      </c>
      <c r="T63" s="41">
        <f t="shared" si="48"/>
        <v>0</v>
      </c>
      <c r="U63" s="41">
        <f t="shared" si="48"/>
        <v>0</v>
      </c>
      <c r="V63" s="103">
        <f t="shared" si="48"/>
        <v>0</v>
      </c>
      <c r="W63" s="89">
        <f t="shared" si="48"/>
        <v>0</v>
      </c>
      <c r="X63" s="89">
        <f t="shared" si="48"/>
        <v>881.59999999999991</v>
      </c>
      <c r="Y63" s="88">
        <f t="shared" si="48"/>
        <v>0</v>
      </c>
      <c r="Z63" s="88">
        <f t="shared" si="48"/>
        <v>881.59999999999991</v>
      </c>
      <c r="AB63" s="41">
        <f t="shared" si="26"/>
        <v>0</v>
      </c>
      <c r="AC63" s="41">
        <f t="shared" si="26"/>
        <v>705</v>
      </c>
      <c r="AD63" s="41">
        <f t="shared" si="26"/>
        <v>0</v>
      </c>
      <c r="AE63" s="41">
        <f t="shared" si="26"/>
        <v>680</v>
      </c>
      <c r="AF63" s="41">
        <f t="shared" si="26"/>
        <v>335</v>
      </c>
      <c r="AG63" s="41">
        <f t="shared" si="27"/>
        <v>0</v>
      </c>
      <c r="AI63" s="41">
        <f t="shared" si="28"/>
        <v>258.40000000000003</v>
      </c>
      <c r="AJ63" s="41">
        <f t="shared" si="28"/>
        <v>91.199999999999989</v>
      </c>
      <c r="AK63" s="41"/>
    </row>
    <row r="64" spans="1:37">
      <c r="B64" s="37" t="s">
        <v>65</v>
      </c>
      <c r="C64" s="120">
        <f>SUM(C52:C63)</f>
        <v>0</v>
      </c>
      <c r="D64" s="120">
        <f t="shared" ref="D64:P64" si="49">SUM(D52:D63)</f>
        <v>0</v>
      </c>
      <c r="E64" s="120">
        <f t="shared" si="49"/>
        <v>0</v>
      </c>
      <c r="F64" s="120">
        <f t="shared" si="49"/>
        <v>0</v>
      </c>
      <c r="G64" s="120">
        <f t="shared" si="49"/>
        <v>0</v>
      </c>
      <c r="H64" s="120">
        <f t="shared" si="49"/>
        <v>0</v>
      </c>
      <c r="I64" s="120">
        <f t="shared" si="49"/>
        <v>0</v>
      </c>
      <c r="J64" s="120">
        <f t="shared" si="49"/>
        <v>0</v>
      </c>
      <c r="K64" s="120">
        <f t="shared" si="49"/>
        <v>14661.720000000001</v>
      </c>
      <c r="L64" s="120">
        <f t="shared" si="49"/>
        <v>27747.18</v>
      </c>
      <c r="M64" s="120">
        <f t="shared" si="49"/>
        <v>27371.879999999997</v>
      </c>
      <c r="N64" s="120">
        <f t="shared" si="49"/>
        <v>0</v>
      </c>
      <c r="O64" s="120">
        <f t="shared" si="49"/>
        <v>30687.800000000003</v>
      </c>
      <c r="P64" s="120">
        <f t="shared" si="49"/>
        <v>13345.799999999997</v>
      </c>
      <c r="R64" s="120">
        <f t="shared" ref="R64:AB64" si="50">SUM(R52:R63)</f>
        <v>0</v>
      </c>
      <c r="S64" s="120">
        <f t="shared" si="50"/>
        <v>0</v>
      </c>
      <c r="T64" s="120">
        <f t="shared" si="50"/>
        <v>0</v>
      </c>
      <c r="U64" s="120">
        <f t="shared" si="50"/>
        <v>0</v>
      </c>
      <c r="V64" s="120">
        <f t="shared" si="50"/>
        <v>0</v>
      </c>
      <c r="W64" s="120">
        <f t="shared" si="50"/>
        <v>0</v>
      </c>
      <c r="X64" s="120">
        <f t="shared" si="50"/>
        <v>10886.599999999999</v>
      </c>
      <c r="Y64" s="120">
        <f t="shared" si="50"/>
        <v>0</v>
      </c>
      <c r="Z64" s="120">
        <f t="shared" si="50"/>
        <v>10886.599999999999</v>
      </c>
      <c r="AB64" s="120">
        <f t="shared" si="50"/>
        <v>3077.46</v>
      </c>
      <c r="AC64" s="120">
        <f>SUM(AC52:AC63)</f>
        <v>9408</v>
      </c>
      <c r="AD64" s="120">
        <f>SUM(AD52:AD63)</f>
        <v>0</v>
      </c>
      <c r="AE64" s="120">
        <f>SUM(AE52:AE63)</f>
        <v>9552</v>
      </c>
      <c r="AF64" s="120">
        <f>SUM(AF52:AF63)</f>
        <v>3415</v>
      </c>
      <c r="AG64" s="120">
        <f>SUM(AG52:AG63)</f>
        <v>0</v>
      </c>
      <c r="AI64" s="120">
        <f>SUM(AI52:AI63)</f>
        <v>3190.8999999999996</v>
      </c>
      <c r="AJ64" s="120">
        <f>SUM(AJ52:AJ63)</f>
        <v>1126.1999999999998</v>
      </c>
    </row>
    <row r="65" spans="1:37">
      <c r="B65" s="37"/>
      <c r="C65" s="120"/>
      <c r="D65" s="120"/>
      <c r="E65" s="120"/>
      <c r="F65" s="120"/>
      <c r="G65" s="120"/>
      <c r="H65" s="120"/>
      <c r="I65" s="120"/>
      <c r="J65" s="120"/>
      <c r="K65" s="120"/>
      <c r="L65" s="120"/>
      <c r="M65" s="120"/>
      <c r="N65" s="120"/>
      <c r="O65" s="120"/>
      <c r="P65" s="120"/>
      <c r="R65" s="120"/>
      <c r="S65" s="120"/>
      <c r="T65" s="120"/>
      <c r="U65" s="120"/>
      <c r="V65" s="120"/>
      <c r="W65" s="120"/>
      <c r="X65" s="120"/>
      <c r="Y65" s="120"/>
      <c r="Z65" s="120"/>
      <c r="AB65" s="120"/>
      <c r="AC65" s="120"/>
      <c r="AD65" s="120"/>
      <c r="AE65" s="101" t="s">
        <v>186</v>
      </c>
      <c r="AF65" s="120"/>
      <c r="AG65" s="157">
        <f>SUM(AB64:AG64)</f>
        <v>25452.46</v>
      </c>
      <c r="AH65" s="157"/>
      <c r="AI65" s="101" t="s">
        <v>215</v>
      </c>
      <c r="AJ65" s="194">
        <f>SUM(AI64:AJ64)</f>
        <v>4317.0999999999995</v>
      </c>
      <c r="AK65" s="120"/>
    </row>
    <row r="66" spans="1:37">
      <c r="B66" s="37"/>
      <c r="F66" s="40"/>
      <c r="G66" s="40"/>
      <c r="H66" s="40"/>
      <c r="I66" s="40"/>
      <c r="R66" s="120"/>
    </row>
    <row r="67" spans="1:37" ht="13">
      <c r="B67" s="35" t="s">
        <v>239</v>
      </c>
      <c r="F67" s="41"/>
      <c r="G67" s="41"/>
      <c r="H67" s="41"/>
      <c r="I67" s="43"/>
      <c r="J67" s="43"/>
      <c r="R67" s="35" t="s">
        <v>355</v>
      </c>
      <c r="AB67" s="35" t="s">
        <v>233</v>
      </c>
      <c r="AI67" s="122" t="s">
        <v>271</v>
      </c>
    </row>
    <row r="68" spans="1:37">
      <c r="B68" s="117" t="s">
        <v>37</v>
      </c>
      <c r="C68" s="23"/>
      <c r="D68" s="23"/>
      <c r="E68" s="23"/>
      <c r="F68" s="23"/>
      <c r="G68" s="41">
        <f>MAX(Min_Draw,(G20-'CHP &amp; Energy'!U4))</f>
        <v>185</v>
      </c>
      <c r="H68" s="41">
        <f>MAX(Min_Draw,(H20-'CHP &amp; Energy'!U4))</f>
        <v>185</v>
      </c>
      <c r="I68" s="41">
        <f>MAX(Min_Draw,(I20-'CHP &amp; Energy'!U4))</f>
        <v>185</v>
      </c>
      <c r="J68" s="41">
        <f>MAX(Min_Draw,(J20-'CHP &amp; Energy'!U4))</f>
        <v>185</v>
      </c>
      <c r="K68" s="102"/>
      <c r="L68" s="23"/>
      <c r="M68" s="23"/>
      <c r="N68" s="41">
        <f>MAX(Min_Draw,(N20-'CHP &amp; Energy'!$U4))</f>
        <v>185</v>
      </c>
      <c r="O68" s="41">
        <f>MAX(Min_Draw,(O20-'CHP &amp; Energy'!$U4))</f>
        <v>185</v>
      </c>
      <c r="P68" s="41">
        <f>MAX(Min_Draw,(P20-'CHP &amp; Energy'!$U4))</f>
        <v>185</v>
      </c>
      <c r="R68" s="372"/>
      <c r="S68" s="372"/>
      <c r="T68" s="41">
        <f>MAX((Min_Draw*'CHP &amp; Energy'!$R4),T20-'CHP &amp; Energy'!$AB4)</f>
        <v>83030</v>
      </c>
      <c r="U68" s="41">
        <f>MAX((Min_Draw*'CHP &amp; Energy'!$R4),U20-'CHP &amp; Energy'!$AB4)</f>
        <v>83030</v>
      </c>
      <c r="V68" s="369"/>
      <c r="W68" s="370"/>
      <c r="X68" s="371"/>
      <c r="Y68" s="100">
        <f>V68</f>
        <v>0</v>
      </c>
      <c r="Z68" s="334">
        <f>MAX((Min_Draw*'CHP &amp; Energy'!R4),Z20-'CHP &amp; Energy'!AA4)</f>
        <v>67000</v>
      </c>
      <c r="AB68" s="88">
        <f t="shared" ref="AB68:AD72" si="51">N68</f>
        <v>185</v>
      </c>
      <c r="AC68" s="88">
        <f t="shared" si="51"/>
        <v>185</v>
      </c>
      <c r="AD68" s="88">
        <f t="shared" si="51"/>
        <v>185</v>
      </c>
      <c r="AE68" s="88">
        <f>Y68</f>
        <v>0</v>
      </c>
      <c r="AF68" s="156">
        <f>MAX((Min_Draw*'CHP &amp; Energy'!$R4),'CHP &amp; Energy'!P21)</f>
        <v>67000</v>
      </c>
      <c r="AG68" s="156">
        <f>MAX((Min_Draw*'CHP &amp; Energy'!$R4),'CHP &amp; Energy'!Q21)</f>
        <v>83030</v>
      </c>
      <c r="AI68" s="41">
        <f>'CHP &amp; Energy'!Q21</f>
        <v>83030</v>
      </c>
      <c r="AJ68" s="41">
        <f>'CHP &amp; Energy'!Q21</f>
        <v>83030</v>
      </c>
    </row>
    <row r="69" spans="1:37">
      <c r="B69" s="118" t="s">
        <v>38</v>
      </c>
      <c r="C69" s="23"/>
      <c r="D69" s="23"/>
      <c r="E69" s="23"/>
      <c r="F69" s="23"/>
      <c r="G69" s="41">
        <f>MAX(Min_Draw,(G21-'CHP &amp; Energy'!U5))</f>
        <v>185</v>
      </c>
      <c r="H69" s="41">
        <f>MAX(Min_Draw,(H21-'CHP &amp; Energy'!U5))</f>
        <v>185</v>
      </c>
      <c r="I69" s="41">
        <f>MAX(Min_Draw,(I21-'CHP &amp; Energy'!U5))</f>
        <v>185</v>
      </c>
      <c r="J69" s="41">
        <f>MAX(Min_Draw,(J21-'CHP &amp; Energy'!U5))</f>
        <v>185</v>
      </c>
      <c r="K69" s="102"/>
      <c r="L69" s="23"/>
      <c r="M69" s="23"/>
      <c r="N69" s="41">
        <f>MAX(Min_Draw,(N21-'CHP &amp; Energy'!$U5))</f>
        <v>185</v>
      </c>
      <c r="O69" s="41">
        <f>MAX(Min_Draw,(O21-'CHP &amp; Energy'!$U5))</f>
        <v>185</v>
      </c>
      <c r="P69" s="41">
        <f>MAX(Min_Draw,(P21-'CHP &amp; Energy'!$U5))</f>
        <v>185</v>
      </c>
      <c r="R69" s="372"/>
      <c r="S69" s="372"/>
      <c r="T69" s="41">
        <f>MAX((Min_Draw*'CHP &amp; Energy'!$R5),T21-'CHP &amp; Energy'!$AB5)</f>
        <v>89300</v>
      </c>
      <c r="U69" s="41">
        <f>MAX((Min_Draw*'CHP &amp; Energy'!$R5),U21-'CHP &amp; Energy'!$AB5)</f>
        <v>89300</v>
      </c>
      <c r="V69" s="369"/>
      <c r="W69" s="370"/>
      <c r="X69" s="371"/>
      <c r="Y69" s="100">
        <f t="shared" ref="Y69:Y79" si="52">V69</f>
        <v>0</v>
      </c>
      <c r="Z69" s="334">
        <f>MAX((Min_Draw*'CHP &amp; Energy'!R5),Z21-'CHP &amp; Energy'!AA5)</f>
        <v>67000</v>
      </c>
      <c r="AB69" s="88">
        <f t="shared" si="51"/>
        <v>185</v>
      </c>
      <c r="AC69" s="88">
        <f t="shared" si="51"/>
        <v>185</v>
      </c>
      <c r="AD69" s="88">
        <f t="shared" si="51"/>
        <v>185</v>
      </c>
      <c r="AE69" s="88">
        <f>Y69</f>
        <v>0</v>
      </c>
      <c r="AF69" s="156">
        <f>MAX((Min_Draw*'CHP &amp; Energy'!$R5),'CHP &amp; Energy'!P22)</f>
        <v>67000</v>
      </c>
      <c r="AG69" s="156">
        <f>MAX((Min_Draw*'CHP &amp; Energy'!$R5),'CHP &amp; Energy'!Q22)</f>
        <v>89300</v>
      </c>
      <c r="AI69" s="41">
        <f>'CHP &amp; Energy'!Q22</f>
        <v>89300</v>
      </c>
      <c r="AJ69" s="41">
        <f>'CHP &amp; Energy'!Q22</f>
        <v>89300</v>
      </c>
    </row>
    <row r="70" spans="1:37">
      <c r="B70" s="117" t="s">
        <v>39</v>
      </c>
      <c r="C70" s="23"/>
      <c r="D70" s="23"/>
      <c r="E70" s="23"/>
      <c r="F70" s="23"/>
      <c r="G70" s="41">
        <f>MAX(Min_Draw,(G22-'CHP &amp; Energy'!U6))</f>
        <v>185</v>
      </c>
      <c r="H70" s="41">
        <f>MAX(Min_Draw,(H22-'CHP &amp; Energy'!U6))</f>
        <v>185</v>
      </c>
      <c r="I70" s="41">
        <f>MAX(Min_Draw,(I22-'CHP &amp; Energy'!U6))</f>
        <v>185</v>
      </c>
      <c r="J70" s="41">
        <f>MAX(Min_Draw,(J22-'CHP &amp; Energy'!U6))</f>
        <v>185</v>
      </c>
      <c r="K70" s="102"/>
      <c r="L70" s="23"/>
      <c r="M70" s="23"/>
      <c r="N70" s="41">
        <f>MAX(Min_Draw,(N22-'CHP &amp; Energy'!$U6))</f>
        <v>185</v>
      </c>
      <c r="O70" s="41">
        <f>MAX(Min_Draw,(O22-'CHP &amp; Energy'!$U6))</f>
        <v>185</v>
      </c>
      <c r="P70" s="41">
        <f>MAX(Min_Draw,(P22-'CHP &amp; Energy'!$U6))</f>
        <v>185</v>
      </c>
      <c r="R70" s="372"/>
      <c r="S70" s="372"/>
      <c r="T70" s="41">
        <f>MAX((Min_Draw*'CHP &amp; Energy'!$R6),T22-'CHP &amp; Energy'!$AB6)</f>
        <v>83030</v>
      </c>
      <c r="U70" s="41">
        <f>MAX((Min_Draw*'CHP &amp; Energy'!$R6),U22-'CHP &amp; Energy'!$AB6)</f>
        <v>83030</v>
      </c>
      <c r="V70" s="369"/>
      <c r="W70" s="370"/>
      <c r="X70" s="371"/>
      <c r="Y70" s="100">
        <f t="shared" si="52"/>
        <v>0</v>
      </c>
      <c r="Z70" s="334">
        <f>MAX((Min_Draw*'CHP &amp; Energy'!R6),Z22-'CHP &amp; Energy'!AA6)</f>
        <v>67000</v>
      </c>
      <c r="AB70" s="88">
        <f t="shared" si="51"/>
        <v>185</v>
      </c>
      <c r="AC70" s="88">
        <f t="shared" si="51"/>
        <v>185</v>
      </c>
      <c r="AD70" s="88">
        <f t="shared" si="51"/>
        <v>185</v>
      </c>
      <c r="AE70" s="88">
        <f>Y70</f>
        <v>0</v>
      </c>
      <c r="AF70" s="156">
        <f>MAX((Min_Draw*'CHP &amp; Energy'!$R6),'CHP &amp; Energy'!P23)</f>
        <v>67000</v>
      </c>
      <c r="AG70" s="156">
        <f>MAX((Min_Draw*'CHP &amp; Energy'!$R6),'CHP &amp; Energy'!Q23)</f>
        <v>83030</v>
      </c>
      <c r="AI70" s="41">
        <f>'CHP &amp; Energy'!Q23</f>
        <v>83030</v>
      </c>
      <c r="AJ70" s="41">
        <f>'CHP &amp; Energy'!Q23</f>
        <v>83030</v>
      </c>
    </row>
    <row r="71" spans="1:37">
      <c r="B71" s="118" t="s">
        <v>40</v>
      </c>
      <c r="C71" s="23"/>
      <c r="D71" s="23"/>
      <c r="E71" s="23"/>
      <c r="F71" s="23"/>
      <c r="G71" s="41">
        <f>MAX(Min_Draw,(G23-'CHP &amp; Energy'!U7))</f>
        <v>175</v>
      </c>
      <c r="H71" s="41">
        <f>MAX(Min_Draw,(H23-'CHP &amp; Energy'!U7))</f>
        <v>175</v>
      </c>
      <c r="I71" s="41">
        <f>MAX(Min_Draw,(I23-'CHP &amp; Energy'!U7))</f>
        <v>175</v>
      </c>
      <c r="J71" s="41">
        <f>MAX(Min_Draw,(J23-'CHP &amp; Energy'!U7))</f>
        <v>175</v>
      </c>
      <c r="K71" s="102"/>
      <c r="L71" s="23"/>
      <c r="M71" s="23"/>
      <c r="N71" s="41">
        <f>MAX(Min_Draw,(N23-'CHP &amp; Energy'!$U7))</f>
        <v>175</v>
      </c>
      <c r="O71" s="41">
        <f>MAX(Min_Draw,(O23-'CHP &amp; Energy'!$U7))</f>
        <v>175</v>
      </c>
      <c r="P71" s="41">
        <f>MAX(Min_Draw,(P23-'CHP &amp; Energy'!$U7))</f>
        <v>175</v>
      </c>
      <c r="R71" s="372"/>
      <c r="S71" s="372"/>
      <c r="T71" s="41">
        <f>MAX((Min_Draw*'CHP &amp; Energy'!$R7),T23-'CHP &amp; Energy'!$AB7)</f>
        <v>128165</v>
      </c>
      <c r="U71" s="41">
        <f>MAX((Min_Draw*'CHP &amp; Energy'!$R7),U23-'CHP &amp; Energy'!$AB7)</f>
        <v>128165</v>
      </c>
      <c r="V71" s="369"/>
      <c r="W71" s="370"/>
      <c r="X71" s="371"/>
      <c r="Y71" s="100">
        <f t="shared" si="52"/>
        <v>0</v>
      </c>
      <c r="Z71" s="334">
        <f>MAX((Min_Draw*'CHP &amp; Energy'!R7),Z23-'CHP &amp; Energy'!AA7)</f>
        <v>50000</v>
      </c>
      <c r="AB71" s="88">
        <f t="shared" si="51"/>
        <v>175</v>
      </c>
      <c r="AC71" s="88">
        <f t="shared" si="51"/>
        <v>175</v>
      </c>
      <c r="AD71" s="88">
        <f t="shared" si="51"/>
        <v>175</v>
      </c>
      <c r="AE71" s="88">
        <f>Y71</f>
        <v>0</v>
      </c>
      <c r="AF71" s="156">
        <f>MAX((Min_Draw*'CHP &amp; Energy'!$R7),'CHP &amp; Energy'!P24)</f>
        <v>50000</v>
      </c>
      <c r="AG71" s="156">
        <f>MAX((Min_Draw*'CHP &amp; Energy'!$R7),'CHP &amp; Energy'!Q24)</f>
        <v>128165</v>
      </c>
      <c r="AI71" s="41">
        <f>'CHP &amp; Energy'!Q24</f>
        <v>128165</v>
      </c>
      <c r="AJ71" s="41">
        <f>'CHP &amp; Energy'!Q24</f>
        <v>128165</v>
      </c>
    </row>
    <row r="72" spans="1:37">
      <c r="B72" s="117" t="s">
        <v>7</v>
      </c>
      <c r="C72" s="23"/>
      <c r="D72" s="23"/>
      <c r="E72" s="23"/>
      <c r="F72" s="23"/>
      <c r="G72" s="41">
        <f>MAX(Min_Draw,(G24-'CHP &amp; Energy'!U8))</f>
        <v>215</v>
      </c>
      <c r="H72" s="41">
        <f>MAX(Min_Draw,(H24-'CHP &amp; Energy'!U8))</f>
        <v>215</v>
      </c>
      <c r="I72" s="41">
        <f>MAX(Min_Draw,(I24-'CHP &amp; Energy'!U8))</f>
        <v>215</v>
      </c>
      <c r="J72" s="41">
        <f>MAX(Min_Draw,(J24-'CHP &amp; Energy'!U8))</f>
        <v>215</v>
      </c>
      <c r="K72" s="102"/>
      <c r="L72" s="23"/>
      <c r="M72" s="23"/>
      <c r="N72" s="41">
        <f>MAX(Min_Draw,(N24-'CHP &amp; Energy'!$U8))</f>
        <v>215</v>
      </c>
      <c r="O72" s="41">
        <f>MAX(Min_Draw,(O24-'CHP &amp; Energy'!$U8))</f>
        <v>215</v>
      </c>
      <c r="P72" s="41">
        <f>MAX(Min_Draw,(P24-'CHP &amp; Energy'!$U8))</f>
        <v>215</v>
      </c>
      <c r="R72" s="372"/>
      <c r="S72" s="372"/>
      <c r="T72" s="41">
        <f>MAX((Min_Draw*'CHP &amp; Energy'!$R8),T24-'CHP &amp; Energy'!$AB8)</f>
        <v>89030</v>
      </c>
      <c r="U72" s="41">
        <f>MAX((Min_Draw*'CHP &amp; Energy'!$R8),U24-'CHP &amp; Energy'!$AB8)</f>
        <v>89030</v>
      </c>
      <c r="V72" s="369"/>
      <c r="W72" s="370"/>
      <c r="X72" s="371"/>
      <c r="Y72" s="100">
        <f t="shared" si="52"/>
        <v>0</v>
      </c>
      <c r="Z72" s="334">
        <f>MAX((Min_Draw*'CHP &amp; Energy'!R8),Z24-'CHP &amp; Energy'!AA8)</f>
        <v>50000</v>
      </c>
      <c r="AB72" s="88">
        <f t="shared" si="51"/>
        <v>215</v>
      </c>
      <c r="AC72" s="88">
        <f t="shared" si="51"/>
        <v>215</v>
      </c>
      <c r="AD72" s="88">
        <f t="shared" si="51"/>
        <v>215</v>
      </c>
      <c r="AE72" s="88">
        <f>Y72</f>
        <v>0</v>
      </c>
      <c r="AF72" s="156">
        <f>MAX((Min_Draw*'CHP &amp; Energy'!$R8),'CHP &amp; Energy'!P25)</f>
        <v>50000</v>
      </c>
      <c r="AG72" s="156">
        <f>MAX((Min_Draw*'CHP &amp; Energy'!$R8),'CHP &amp; Energy'!Q25)</f>
        <v>89030</v>
      </c>
      <c r="AI72" s="41">
        <f>'CHP &amp; Energy'!Q25</f>
        <v>89030</v>
      </c>
      <c r="AJ72" s="41">
        <f>'CHP &amp; Energy'!Q25</f>
        <v>89030</v>
      </c>
    </row>
    <row r="73" spans="1:37">
      <c r="B73" s="118" t="s">
        <v>41</v>
      </c>
      <c r="C73" s="41">
        <f>MAX(Min_Draw,(C25-'CHP &amp; Energy'!U9))</f>
        <v>216</v>
      </c>
      <c r="D73" s="41">
        <f>MAX(Min_Draw,(D25-'CHP &amp; Energy'!U9))</f>
        <v>216</v>
      </c>
      <c r="E73" s="41">
        <f>MAX(Min_Draw,(E25-'CHP &amp; Energy'!U9))</f>
        <v>216</v>
      </c>
      <c r="F73" s="41">
        <f>MAX(Min_Draw,(F25-'CHP &amp; Energy'!U9))</f>
        <v>216</v>
      </c>
      <c r="G73" s="23"/>
      <c r="H73" s="23"/>
      <c r="I73" s="23"/>
      <c r="J73" s="23"/>
      <c r="K73" s="99">
        <f>MAX(Min_Draw,(K25-'CHP &amp; Energy'!$U9))</f>
        <v>216</v>
      </c>
      <c r="L73" s="41">
        <f>MAX(0,(L25-'CHP &amp; Energy'!$U9))</f>
        <v>216</v>
      </c>
      <c r="M73" s="41">
        <f>MAX(Min_Draw,(M25-'CHP &amp; Energy'!$U9))</f>
        <v>216</v>
      </c>
      <c r="N73" s="23"/>
      <c r="O73" s="23"/>
      <c r="P73" s="23"/>
      <c r="R73" s="41">
        <f>MAX((Min_Draw*'CHP &amp; Energy'!$R9),R25-'CHP &amp; Energy'!$AB9)</f>
        <v>92165</v>
      </c>
      <c r="S73" s="41">
        <f>MAX((Min_Draw*'CHP &amp; Energy'!$R9),S25-'CHP &amp; Energy'!$AB9)</f>
        <v>92165</v>
      </c>
      <c r="T73" s="372"/>
      <c r="U73" s="372"/>
      <c r="V73" s="99">
        <f>MAX((Min_Draw*'CHP &amp; Energy'!M9),V25-'CHP &amp; Energy'!W9)</f>
        <v>42165</v>
      </c>
      <c r="W73" s="100">
        <f>MAX((Min_Draw*'CHP &amp; Energy'!N9),W25-'CHP &amp; Energy'!W9)</f>
        <v>0</v>
      </c>
      <c r="X73" s="368">
        <f>MAX((Min_Draw*'CHP &amp; Energy'!R9),(X25-'CHP &amp; Energy'!AA9))</f>
        <v>50000</v>
      </c>
      <c r="Y73" s="370"/>
      <c r="Z73" s="373"/>
      <c r="AB73" s="89">
        <f t="shared" ref="AB73:AD75" si="53">K73</f>
        <v>216</v>
      </c>
      <c r="AC73" s="89">
        <f t="shared" si="53"/>
        <v>216</v>
      </c>
      <c r="AD73" s="89">
        <f t="shared" si="53"/>
        <v>216</v>
      </c>
      <c r="AE73" s="89">
        <f>W73</f>
        <v>0</v>
      </c>
      <c r="AF73" s="388">
        <f>MAX((Min_Draw*'CHP &amp; Energy'!$R9),'CHP &amp; Energy'!P26)</f>
        <v>50000</v>
      </c>
      <c r="AG73" s="388">
        <f>MAX((Min_Draw*'CHP &amp; Energy'!$R9),'CHP &amp; Energy'!Q26)</f>
        <v>92165</v>
      </c>
      <c r="AI73" s="41">
        <f>'CHP &amp; Energy'!Q26</f>
        <v>92165</v>
      </c>
      <c r="AJ73" s="41">
        <f>'CHP &amp; Energy'!Q26</f>
        <v>92165</v>
      </c>
    </row>
    <row r="74" spans="1:37">
      <c r="B74" s="117" t="s">
        <v>42</v>
      </c>
      <c r="C74" s="41">
        <f>MAX(Min_Draw,(C26-'CHP &amp; Energy'!U10))</f>
        <v>716</v>
      </c>
      <c r="D74" s="41">
        <f>MAX(Min_Draw,(D26-'CHP &amp; Energy'!U10))</f>
        <v>716</v>
      </c>
      <c r="E74" s="41">
        <f>MAX(Min_Draw,(E26-'CHP &amp; Energy'!U10))</f>
        <v>716</v>
      </c>
      <c r="F74" s="41">
        <f>MAX(Min_Draw,(F26-'CHP &amp; Energy'!U10))</f>
        <v>716</v>
      </c>
      <c r="G74" s="23"/>
      <c r="H74" s="23"/>
      <c r="I74" s="23"/>
      <c r="J74" s="23"/>
      <c r="K74" s="99">
        <f>MAX(Min_Draw,(K26-'CHP &amp; Energy'!$U10))</f>
        <v>716</v>
      </c>
      <c r="L74" s="41">
        <f>MAX(Min_Draw,(L26-'CHP &amp; Energy'!$U10))</f>
        <v>716</v>
      </c>
      <c r="M74" s="41">
        <f>MAX(Min_Draw,(M26-'CHP &amp; Energy'!$U10))</f>
        <v>716</v>
      </c>
      <c r="N74" s="23"/>
      <c r="O74" s="23"/>
      <c r="P74" s="23"/>
      <c r="R74" s="41">
        <f>MAX((Min_Draw*'CHP &amp; Energy'!$R10),R26-'CHP &amp; Energy'!$AB10)</f>
        <v>89030</v>
      </c>
      <c r="S74" s="41">
        <f>MAX((Min_Draw*'CHP &amp; Energy'!$R10),S26-'CHP &amp; Energy'!$AB10)</f>
        <v>89030</v>
      </c>
      <c r="T74" s="372"/>
      <c r="U74" s="372"/>
      <c r="V74" s="99">
        <f>MAX((Min_Draw*'CHP &amp; Energy'!M10),V26-'CHP &amp; Energy'!W10)</f>
        <v>39030</v>
      </c>
      <c r="W74" s="100">
        <f>MAX((Min_Draw*'CHP &amp; Energy'!N10),W26-'CHP &amp; Energy'!W10)</f>
        <v>0</v>
      </c>
      <c r="X74" s="368">
        <f>MAX((Min_Draw*'CHP &amp; Energy'!R10),(X26-'CHP &amp; Energy'!AA10))</f>
        <v>50000</v>
      </c>
      <c r="Y74" s="370"/>
      <c r="Z74" s="373"/>
      <c r="AB74" s="89">
        <f t="shared" si="53"/>
        <v>716</v>
      </c>
      <c r="AC74" s="89">
        <f t="shared" si="53"/>
        <v>716</v>
      </c>
      <c r="AD74" s="89">
        <f t="shared" si="53"/>
        <v>716</v>
      </c>
      <c r="AE74" s="89">
        <f>W74</f>
        <v>0</v>
      </c>
      <c r="AF74" s="388">
        <f>MAX((Min_Draw*'CHP &amp; Energy'!$R10),'CHP &amp; Energy'!P27)</f>
        <v>50000</v>
      </c>
      <c r="AG74" s="388">
        <f>MAX((Min_Draw*'CHP &amp; Energy'!$R10),'CHP &amp; Energy'!Q27)</f>
        <v>89030</v>
      </c>
      <c r="AI74" s="41">
        <f>'CHP &amp; Energy'!Q27</f>
        <v>89030</v>
      </c>
      <c r="AJ74" s="41">
        <f>'CHP &amp; Energy'!Q27</f>
        <v>89030</v>
      </c>
    </row>
    <row r="75" spans="1:37">
      <c r="B75" s="118" t="s">
        <v>43</v>
      </c>
      <c r="C75" s="41">
        <f>MAX(Min_Draw,(C27-'CHP &amp; Energy'!U11))</f>
        <v>215</v>
      </c>
      <c r="D75" s="41">
        <f>MAX(Min_Draw,(D27-'CHP &amp; Energy'!U11))</f>
        <v>215</v>
      </c>
      <c r="E75" s="41">
        <f>MAX(Min_Draw,(E27-'CHP &amp; Energy'!U11))</f>
        <v>215</v>
      </c>
      <c r="F75" s="41">
        <f>MAX(Min_Draw,(F27-'CHP &amp; Energy'!U11))</f>
        <v>215</v>
      </c>
      <c r="G75" s="23"/>
      <c r="H75" s="23"/>
      <c r="I75" s="23"/>
      <c r="J75" s="23"/>
      <c r="K75" s="99">
        <f>MAX(Min_Draw,(K27-'CHP &amp; Energy'!$U11))</f>
        <v>215</v>
      </c>
      <c r="L75" s="41">
        <f>MAX(Min_Draw,(L27-'CHP &amp; Energy'!$U11))</f>
        <v>215</v>
      </c>
      <c r="M75" s="41">
        <f>MAX(Min_Draw,(M27-'CHP &amp; Energy'!$U11))</f>
        <v>215</v>
      </c>
      <c r="N75" s="23"/>
      <c r="O75" s="23"/>
      <c r="P75" s="23"/>
      <c r="R75" s="41">
        <f>MAX((Min_Draw*'CHP &amp; Energy'!$R11),R27-'CHP &amp; Energy'!$AB11)</f>
        <v>89030</v>
      </c>
      <c r="S75" s="41">
        <f>MAX((Min_Draw*'CHP &amp; Energy'!$R11),S27-'CHP &amp; Energy'!$AB11)</f>
        <v>89030</v>
      </c>
      <c r="T75" s="372"/>
      <c r="U75" s="372"/>
      <c r="V75" s="99">
        <f>MAX((Min_Draw*'CHP &amp; Energy'!M11),V27-'CHP &amp; Energy'!W11)</f>
        <v>39030</v>
      </c>
      <c r="W75" s="100">
        <f>MAX((Min_Draw*'CHP &amp; Energy'!N11),W27-'CHP &amp; Energy'!W11)</f>
        <v>0</v>
      </c>
      <c r="X75" s="368">
        <f>MAX((Min_Draw*'CHP &amp; Energy'!R11),(X27-'CHP &amp; Energy'!AA11))</f>
        <v>50000</v>
      </c>
      <c r="Y75" s="370"/>
      <c r="Z75" s="373"/>
      <c r="AB75" s="89">
        <f t="shared" si="53"/>
        <v>215</v>
      </c>
      <c r="AC75" s="89">
        <f t="shared" si="53"/>
        <v>215</v>
      </c>
      <c r="AD75" s="89">
        <f t="shared" si="53"/>
        <v>215</v>
      </c>
      <c r="AE75" s="89">
        <f>W75</f>
        <v>0</v>
      </c>
      <c r="AF75" s="388">
        <f>MAX((Min_Draw*'CHP &amp; Energy'!$R11),'CHP &amp; Energy'!P28)</f>
        <v>50000</v>
      </c>
      <c r="AG75" s="388">
        <f>MAX((Min_Draw*'CHP &amp; Energy'!$R11),'CHP &amp; Energy'!Q28)</f>
        <v>89030</v>
      </c>
      <c r="AI75" s="41">
        <f>'CHP &amp; Energy'!Q28</f>
        <v>89030</v>
      </c>
      <c r="AJ75" s="41">
        <f>'CHP &amp; Energy'!Q28</f>
        <v>89030</v>
      </c>
    </row>
    <row r="76" spans="1:37">
      <c r="B76" s="117" t="s">
        <v>44</v>
      </c>
      <c r="C76" s="41">
        <f>MAX(Min_Draw,(C28-'CHP &amp; Energy'!U12))</f>
        <v>215</v>
      </c>
      <c r="D76" s="41">
        <f>MAX(Min_Draw,(D28-'CHP &amp; Energy'!U12))</f>
        <v>215</v>
      </c>
      <c r="E76" s="41">
        <f>MAX(Min_Draw,(E28-'CHP &amp; Energy'!U12))</f>
        <v>215</v>
      </c>
      <c r="F76" s="41">
        <f>MAX(Min_Draw,(F28-'CHP &amp; Energy'!U12))</f>
        <v>215</v>
      </c>
      <c r="G76" s="23"/>
      <c r="H76" s="23"/>
      <c r="I76" s="23"/>
      <c r="J76" s="23"/>
      <c r="K76" s="99">
        <f>MAX(0,(K28-'CHP &amp; Energy'!$U12))</f>
        <v>215</v>
      </c>
      <c r="L76" s="41">
        <f>MAX(0,(L28-'CHP &amp; Energy'!$U12))</f>
        <v>215</v>
      </c>
      <c r="M76" s="41">
        <f>MAX(0,(M28-'CHP &amp; Energy'!$U12))</f>
        <v>215</v>
      </c>
      <c r="N76" s="23"/>
      <c r="O76" s="23"/>
      <c r="P76" s="23"/>
      <c r="R76" s="41">
        <f>MAX((Min_Draw*'CHP &amp; Energy'!$R12),R28-'CHP &amp; Energy'!$AB12)</f>
        <v>92165</v>
      </c>
      <c r="S76" s="41">
        <f>MAX((Min_Draw*'CHP &amp; Energy'!$R12),S28-'CHP &amp; Energy'!$AB12)</f>
        <v>92165</v>
      </c>
      <c r="T76" s="372"/>
      <c r="U76" s="372"/>
      <c r="V76" s="99">
        <f>MAX((Min_Draw*'CHP &amp; Energy'!M12),V28-'CHP &amp; Energy'!W12)</f>
        <v>42165</v>
      </c>
      <c r="W76" s="100">
        <f>MAX((Min_Draw*'CHP &amp; Energy'!N12),W28-'CHP &amp; Energy'!W12)</f>
        <v>0</v>
      </c>
      <c r="X76" s="368">
        <f>MAX((Min_Draw*'CHP &amp; Energy'!R12),(X28-'CHP &amp; Energy'!AA12))</f>
        <v>50000</v>
      </c>
      <c r="Y76" s="370"/>
      <c r="Z76" s="373"/>
      <c r="AB76" s="88">
        <f t="shared" ref="AB76:AD79" si="54">N76</f>
        <v>0</v>
      </c>
      <c r="AC76" s="88">
        <f t="shared" si="54"/>
        <v>0</v>
      </c>
      <c r="AD76" s="88">
        <f t="shared" si="54"/>
        <v>0</v>
      </c>
      <c r="AE76" s="88">
        <f>Y76</f>
        <v>0</v>
      </c>
      <c r="AF76" s="156">
        <f>MAX((Min_Draw*'CHP &amp; Energy'!$R12),'CHP &amp; Energy'!P29)</f>
        <v>50000</v>
      </c>
      <c r="AG76" s="156">
        <f>MAX((Min_Draw*'CHP &amp; Energy'!$R12),'CHP &amp; Energy'!Q29)</f>
        <v>92165</v>
      </c>
      <c r="AI76" s="41">
        <f>'CHP &amp; Energy'!Q29</f>
        <v>92165</v>
      </c>
      <c r="AJ76" s="41">
        <f>'CHP &amp; Energy'!Q29</f>
        <v>92165</v>
      </c>
    </row>
    <row r="77" spans="1:37">
      <c r="B77" s="118" t="s">
        <v>45</v>
      </c>
      <c r="C77" s="23"/>
      <c r="D77" s="23"/>
      <c r="E77" s="23"/>
      <c r="F77" s="23"/>
      <c r="G77" s="41">
        <f>MAX(Min_Draw,(G29-'CHP &amp; Energy'!U13))</f>
        <v>175</v>
      </c>
      <c r="H77" s="41">
        <f>MAX(Min_Draw,(H29-'CHP &amp; Energy'!U13))</f>
        <v>175</v>
      </c>
      <c r="I77" s="41">
        <f>MAX(Min_Draw,(I29-'CHP &amp; Energy'!U13))</f>
        <v>175</v>
      </c>
      <c r="J77" s="41">
        <f>MAX(Min_Draw,(J29-'CHP &amp; Energy'!U13))</f>
        <v>175</v>
      </c>
      <c r="K77" s="102"/>
      <c r="L77" s="23"/>
      <c r="M77" s="23"/>
      <c r="N77" s="41">
        <f>MAX(Min_Draw,(N29-'CHP &amp; Energy'!$U13))</f>
        <v>175</v>
      </c>
      <c r="O77" s="41">
        <f>MAX(Min_Draw,(O29-'CHP &amp; Energy'!$U13))</f>
        <v>175</v>
      </c>
      <c r="P77" s="41">
        <f>MAX(Min_Draw,(P29-'CHP &amp; Energy'!$U13))</f>
        <v>175</v>
      </c>
      <c r="R77" s="372"/>
      <c r="S77" s="372"/>
      <c r="T77" s="41">
        <f>MAX((Min_Draw*'CHP &amp; Energy'!$R13),T29-'CHP &amp; Energy'!$AB13)</f>
        <v>64030</v>
      </c>
      <c r="U77" s="41">
        <f>MAX((Min_Draw*'CHP &amp; Energy'!$R13),U29-'CHP &amp; Energy'!$AB13)</f>
        <v>64030</v>
      </c>
      <c r="V77" s="369"/>
      <c r="W77" s="370"/>
      <c r="X77" s="371"/>
      <c r="Y77" s="100">
        <f t="shared" si="52"/>
        <v>0</v>
      </c>
      <c r="Z77" s="334">
        <f>MAX((Min_Draw*'CHP &amp; Energy'!R13),Z29-'CHP &amp; Energy'!AA13)</f>
        <v>48000</v>
      </c>
      <c r="AB77" s="88">
        <f t="shared" si="54"/>
        <v>175</v>
      </c>
      <c r="AC77" s="88">
        <f t="shared" si="54"/>
        <v>175</v>
      </c>
      <c r="AD77" s="88">
        <f t="shared" si="54"/>
        <v>175</v>
      </c>
      <c r="AE77" s="88">
        <f>Y77</f>
        <v>0</v>
      </c>
      <c r="AF77" s="156">
        <f>MAX((Min_Draw*'CHP &amp; Energy'!$R13),'CHP &amp; Energy'!P30)</f>
        <v>48000</v>
      </c>
      <c r="AG77" s="156">
        <f>MAX((Min_Draw*'CHP &amp; Energy'!$R13),'CHP &amp; Energy'!Q30)</f>
        <v>64030</v>
      </c>
      <c r="AI77" s="41">
        <f>'CHP &amp; Energy'!Q30</f>
        <v>64030</v>
      </c>
      <c r="AJ77" s="41">
        <f>'CHP &amp; Energy'!Q30</f>
        <v>64030</v>
      </c>
    </row>
    <row r="78" spans="1:37">
      <c r="B78" s="117" t="s">
        <v>46</v>
      </c>
      <c r="C78" s="23"/>
      <c r="D78" s="23"/>
      <c r="E78" s="23"/>
      <c r="F78" s="23"/>
      <c r="G78" s="41">
        <f>MAX(Min_Draw,(G30-'CHP &amp; Energy'!U14))</f>
        <v>185</v>
      </c>
      <c r="H78" s="41">
        <f>MAX(Min_Draw,(H30-'CHP &amp; Energy'!U14))</f>
        <v>185</v>
      </c>
      <c r="I78" s="41">
        <f>MAX(Min_Draw,(I30-'CHP &amp; Energy'!U14))</f>
        <v>185</v>
      </c>
      <c r="J78" s="41">
        <f>MAX(Min_Draw,(J30-'CHP &amp; Energy'!U14))</f>
        <v>185</v>
      </c>
      <c r="K78" s="102"/>
      <c r="L78" s="23"/>
      <c r="M78" s="23"/>
      <c r="N78" s="41">
        <f>MAX(Min_Draw,(N30-'CHP &amp; Energy'!$U14))</f>
        <v>185</v>
      </c>
      <c r="O78" s="41">
        <f>MAX(Min_Draw,(O30-'CHP &amp; Energy'!$U14))</f>
        <v>185</v>
      </c>
      <c r="P78" s="41">
        <f>MAX(Min_Draw,(P30-'CHP &amp; Energy'!$U14))</f>
        <v>185</v>
      </c>
      <c r="R78" s="372"/>
      <c r="S78" s="372"/>
      <c r="T78" s="41">
        <f>MAX((Min_Draw*'CHP &amp; Energy'!$R14),T30-'CHP &amp; Energy'!$AB14)</f>
        <v>86165</v>
      </c>
      <c r="U78" s="41">
        <f>MAX((Min_Draw*'CHP &amp; Energy'!$R14),U30-'CHP &amp; Energy'!$AB14)</f>
        <v>86165</v>
      </c>
      <c r="V78" s="369"/>
      <c r="W78" s="370"/>
      <c r="X78" s="371"/>
      <c r="Y78" s="100">
        <f t="shared" si="52"/>
        <v>0</v>
      </c>
      <c r="Z78" s="334">
        <f>MAX((Min_Draw*'CHP &amp; Energy'!R14),Z30-'CHP &amp; Energy'!AA14)</f>
        <v>67000</v>
      </c>
      <c r="AB78" s="88">
        <f t="shared" si="54"/>
        <v>185</v>
      </c>
      <c r="AC78" s="88">
        <f t="shared" si="54"/>
        <v>185</v>
      </c>
      <c r="AD78" s="88">
        <f t="shared" si="54"/>
        <v>185</v>
      </c>
      <c r="AE78" s="88">
        <f>Y78</f>
        <v>0</v>
      </c>
      <c r="AF78" s="156">
        <f>MAX((Min_Draw*'CHP &amp; Energy'!$R14),'CHP &amp; Energy'!P31)</f>
        <v>67000</v>
      </c>
      <c r="AG78" s="156">
        <f>MAX((Min_Draw*'CHP &amp; Energy'!$R14),'CHP &amp; Energy'!Q31)</f>
        <v>86165</v>
      </c>
      <c r="AI78" s="41">
        <f>'CHP &amp; Energy'!Q31</f>
        <v>86165</v>
      </c>
      <c r="AJ78" s="41">
        <f>'CHP &amp; Energy'!Q31</f>
        <v>86165</v>
      </c>
    </row>
    <row r="79" spans="1:37">
      <c r="B79" s="118" t="s">
        <v>47</v>
      </c>
      <c r="C79" s="23"/>
      <c r="D79" s="23"/>
      <c r="E79" s="23"/>
      <c r="F79" s="23"/>
      <c r="G79" s="41">
        <f>MAX(Min_Draw,(G31-'CHP &amp; Energy'!U15))</f>
        <v>185</v>
      </c>
      <c r="H79" s="41">
        <f>MAX(Min_Draw,(H31-'CHP &amp; Energy'!U15))</f>
        <v>185</v>
      </c>
      <c r="I79" s="41">
        <f>MAX(Min_Draw,(I31-'CHP &amp; Energy'!U15))</f>
        <v>185</v>
      </c>
      <c r="J79" s="41">
        <f>MAX(Min_Draw,(J31-'CHP &amp; Energy'!U15))</f>
        <v>185</v>
      </c>
      <c r="K79" s="102"/>
      <c r="L79" s="23"/>
      <c r="M79" s="23"/>
      <c r="N79" s="41">
        <f>MAX(Min_Draw,(N31-'CHP &amp; Energy'!$U15))</f>
        <v>185</v>
      </c>
      <c r="O79" s="41">
        <f>MAX(Min_Draw,(O31-'CHP &amp; Energy'!$U15))</f>
        <v>185</v>
      </c>
      <c r="P79" s="41">
        <f>MAX(Min_Draw,(P31-'CHP &amp; Energy'!$U15))</f>
        <v>185</v>
      </c>
      <c r="R79" s="372"/>
      <c r="S79" s="372"/>
      <c r="T79" s="41">
        <f>MAX((Min_Draw*'CHP &amp; Energy'!$R15),T31-'CHP &amp; Energy'!$AB15)</f>
        <v>83030</v>
      </c>
      <c r="U79" s="41">
        <f>MAX((Min_Draw*'CHP &amp; Energy'!$R15),U31-'CHP &amp; Energy'!$AB15)</f>
        <v>83030</v>
      </c>
      <c r="V79" s="369"/>
      <c r="W79" s="370"/>
      <c r="X79" s="371"/>
      <c r="Y79" s="100">
        <f t="shared" si="52"/>
        <v>0</v>
      </c>
      <c r="Z79" s="334">
        <f>MAX((Min_Draw*'CHP &amp; Energy'!R15),Z31-'CHP &amp; Energy'!AA15)</f>
        <v>67000</v>
      </c>
      <c r="AB79" s="88">
        <f t="shared" si="54"/>
        <v>185</v>
      </c>
      <c r="AC79" s="88">
        <f t="shared" si="54"/>
        <v>185</v>
      </c>
      <c r="AD79" s="88">
        <f t="shared" si="54"/>
        <v>185</v>
      </c>
      <c r="AE79" s="88">
        <f>Y79</f>
        <v>0</v>
      </c>
      <c r="AF79" s="156">
        <f>MAX((Min_Draw*'CHP &amp; Energy'!$R15),'CHP &amp; Energy'!P32)</f>
        <v>67000</v>
      </c>
      <c r="AG79" s="156">
        <f>MAX((Min_Draw*'CHP &amp; Energy'!$R15),'CHP &amp; Energy'!Q32)</f>
        <v>83030</v>
      </c>
      <c r="AI79" s="41">
        <f>'CHP &amp; Energy'!Q32</f>
        <v>83030</v>
      </c>
      <c r="AJ79" s="41">
        <f>'CHP &amp; Energy'!Q32</f>
        <v>83030</v>
      </c>
    </row>
    <row r="80" spans="1:37" customFormat="1">
      <c r="A80" s="34"/>
      <c r="R80" s="101" t="s">
        <v>251</v>
      </c>
    </row>
    <row r="82" spans="2:36" ht="13">
      <c r="B82" s="35" t="s">
        <v>238</v>
      </c>
      <c r="K82" s="101" t="s">
        <v>128</v>
      </c>
      <c r="R82" s="101" t="s">
        <v>132</v>
      </c>
      <c r="V82" s="101" t="s">
        <v>126</v>
      </c>
      <c r="AB82" s="101" t="s">
        <v>260</v>
      </c>
    </row>
    <row r="83" spans="2:36">
      <c r="B83" s="117" t="s">
        <v>37</v>
      </c>
      <c r="C83" s="89">
        <f t="shared" ref="C83:C94" si="55">IF(C$36&gt;C68,C68,C$36)</f>
        <v>0</v>
      </c>
      <c r="D83" s="89">
        <f>IF(D68&gt;SUM(C$36:D$36),IF(D$36="up",D68-SUM(C$36:C$36),D$36),IF(D68&lt;=C$36,0,(D68-(SUM(C$36:C$36)))))</f>
        <v>0</v>
      </c>
      <c r="E83" s="89">
        <f>IF(E68&gt;SUM(D$36:E$36),IF(E$36="up",E68-SUM(D$36:D$36),E$36),IF(E68&lt;=D$36,0,(E68-(SUM(D$36:D$36)))))</f>
        <v>0</v>
      </c>
      <c r="F83" s="89">
        <f>IF(F68&gt;SUM(E$36:F$36),IF(F$36="up",F68-SUM(E$36:E$36),F$36),IF(F68&lt;=E$36,0,(F68-(SUM(E$36:E$36)))))</f>
        <v>0</v>
      </c>
      <c r="G83" s="88">
        <f>IF(G68&gt;SUM(F$36:G$36),IF(G$36="up",G68-SUM(F$36:F$36),G$36),IF(G68&lt;=F$36,0,(G68-(SUM(F$36:F$36)))))</f>
        <v>0</v>
      </c>
      <c r="H83" s="88">
        <f>IF(H68&gt;SUM(G$36:H$36),IF(H$36="up",H68-SUM(G$36:G$36),H$36),IF(H68&lt;=G$36,0,(H68-(SUM(G$36:G$36)))))</f>
        <v>0</v>
      </c>
      <c r="I83" s="88">
        <f t="shared" ref="I83:I93" si="56">IF(I68&gt;SUM(G$36:I$36),IF(I$36="up",I68-SUM(G$36:H$36),I$36),IF(I68&lt;=H$36,0,(I68-(SUM(G$36:H$36)))))</f>
        <v>0</v>
      </c>
      <c r="J83" s="88">
        <f t="shared" ref="J83:J93" si="57">IF(J68&gt;SUM(G$36:J$36),IF(J$36="up",J68-SUM(G$36:I$36),J$36),IF(J68&lt;=(SUM(G$36:I$36)),0,(J68-(SUM(I$36:I$36)))))</f>
        <v>0</v>
      </c>
      <c r="K83" s="99">
        <f t="shared" ref="K83:P92" si="58">K68</f>
        <v>0</v>
      </c>
      <c r="L83" s="41">
        <f t="shared" si="58"/>
        <v>0</v>
      </c>
      <c r="M83" s="41">
        <f t="shared" si="58"/>
        <v>0</v>
      </c>
      <c r="N83" s="41">
        <f t="shared" si="58"/>
        <v>185</v>
      </c>
      <c r="O83" s="41">
        <f t="shared" si="58"/>
        <v>185</v>
      </c>
      <c r="P83" s="41">
        <f t="shared" si="58"/>
        <v>185</v>
      </c>
      <c r="R83" s="89">
        <f>IF(R$36&gt;R68,R68,R$36)</f>
        <v>0</v>
      </c>
      <c r="S83" s="89">
        <f>IF(S68&gt;SUM(R$36:S$36),IF(S$36="up",S68-SUM(R$36:R$36),S$36),IF(S68&lt;=R$36,0,(S68-(SUM(R$36:R$36)))))</f>
        <v>0</v>
      </c>
      <c r="T83" s="88">
        <f>IF(T$36&gt;T68,T68,T$36)</f>
        <v>0</v>
      </c>
      <c r="U83" s="88">
        <f>IF(U68&gt;SUM(T$36:U$36),IF(U$36="up",U68-SUM(T$36:T$36),U$36),IF(U68&lt;=T$36,0,(U68-(SUM(T$36:T$36)))))</f>
        <v>0</v>
      </c>
      <c r="V83" s="103">
        <f t="shared" ref="V83:Z92" si="59">V68</f>
        <v>0</v>
      </c>
      <c r="W83" s="123">
        <f t="shared" si="59"/>
        <v>0</v>
      </c>
      <c r="X83" s="123">
        <f t="shared" si="59"/>
        <v>0</v>
      </c>
      <c r="Y83" s="88">
        <f t="shared" si="59"/>
        <v>0</v>
      </c>
      <c r="Z83" s="88">
        <f t="shared" si="59"/>
        <v>67000</v>
      </c>
      <c r="AB83" s="149"/>
      <c r="AC83" s="150"/>
      <c r="AD83" s="150"/>
      <c r="AE83" s="150"/>
      <c r="AF83" s="150"/>
      <c r="AG83" s="151"/>
      <c r="AI83" s="149"/>
      <c r="AJ83" s="151"/>
    </row>
    <row r="84" spans="2:36">
      <c r="B84" s="118" t="s">
        <v>38</v>
      </c>
      <c r="C84" s="89">
        <f t="shared" si="55"/>
        <v>0</v>
      </c>
      <c r="D84" s="89">
        <f t="shared" ref="D84:H94" si="60">IF(D69&gt;SUM(C$36:D$36),IF(D$36="up",D69-SUM(C$36:C$36),D$36),IF(D69&lt;=C$36,0,(D69-(SUM(C$36:C$36)))))</f>
        <v>0</v>
      </c>
      <c r="E84" s="89">
        <f t="shared" si="60"/>
        <v>0</v>
      </c>
      <c r="F84" s="89">
        <f t="shared" si="60"/>
        <v>0</v>
      </c>
      <c r="G84" s="88">
        <f t="shared" si="60"/>
        <v>0</v>
      </c>
      <c r="H84" s="88">
        <f t="shared" si="60"/>
        <v>0</v>
      </c>
      <c r="I84" s="88">
        <f t="shared" si="56"/>
        <v>0</v>
      </c>
      <c r="J84" s="88">
        <f t="shared" si="57"/>
        <v>0</v>
      </c>
      <c r="K84" s="99">
        <f t="shared" si="58"/>
        <v>0</v>
      </c>
      <c r="L84" s="41">
        <f t="shared" si="58"/>
        <v>0</v>
      </c>
      <c r="M84" s="41">
        <f t="shared" si="58"/>
        <v>0</v>
      </c>
      <c r="N84" s="41">
        <f t="shared" si="58"/>
        <v>185</v>
      </c>
      <c r="O84" s="41">
        <f t="shared" si="58"/>
        <v>185</v>
      </c>
      <c r="P84" s="41">
        <f t="shared" si="58"/>
        <v>185</v>
      </c>
      <c r="R84" s="89">
        <f t="shared" ref="R84:R94" si="61">IF(R$36&gt;R69,R69,R$36)</f>
        <v>0</v>
      </c>
      <c r="S84" s="89">
        <f t="shared" ref="S84:S94" si="62">IF(S69&gt;SUM(R$36:S$36),IF(S$36="up",S69-SUM(R$36:R$36),S$36),IF(S69&lt;=R$36,0,(S69-(SUM(R$36:R$36)))))</f>
        <v>0</v>
      </c>
      <c r="T84" s="88">
        <f t="shared" ref="T84:T94" si="63">IF(T$36&gt;T69,T69,T$36)</f>
        <v>0</v>
      </c>
      <c r="U84" s="88">
        <f t="shared" ref="U84:U94" si="64">IF(U69&gt;SUM(T$36:U$36),IF(U$36="up",U69-SUM(T$36:T$36),U$36),IF(U69&lt;=T$36,0,(U69-(SUM(T$36:T$36)))))</f>
        <v>0</v>
      </c>
      <c r="V84" s="103">
        <f t="shared" si="59"/>
        <v>0</v>
      </c>
      <c r="W84" s="123">
        <f t="shared" si="59"/>
        <v>0</v>
      </c>
      <c r="X84" s="123">
        <f t="shared" si="59"/>
        <v>0</v>
      </c>
      <c r="Y84" s="88">
        <f t="shared" si="59"/>
        <v>0</v>
      </c>
      <c r="Z84" s="88">
        <f t="shared" si="59"/>
        <v>67000</v>
      </c>
      <c r="AB84" s="58"/>
      <c r="AC84" s="59"/>
      <c r="AD84" s="59"/>
      <c r="AE84" s="59"/>
      <c r="AF84" s="59"/>
      <c r="AG84" s="152"/>
      <c r="AI84" s="58"/>
      <c r="AJ84" s="152"/>
    </row>
    <row r="85" spans="2:36">
      <c r="B85" s="117" t="s">
        <v>39</v>
      </c>
      <c r="C85" s="89">
        <f t="shared" si="55"/>
        <v>0</v>
      </c>
      <c r="D85" s="89">
        <f t="shared" si="60"/>
        <v>0</v>
      </c>
      <c r="E85" s="89">
        <f t="shared" si="60"/>
        <v>0</v>
      </c>
      <c r="F85" s="89">
        <f t="shared" si="60"/>
        <v>0</v>
      </c>
      <c r="G85" s="88">
        <f t="shared" si="60"/>
        <v>0</v>
      </c>
      <c r="H85" s="88">
        <f t="shared" si="60"/>
        <v>0</v>
      </c>
      <c r="I85" s="88">
        <f t="shared" si="56"/>
        <v>0</v>
      </c>
      <c r="J85" s="88">
        <f t="shared" si="57"/>
        <v>0</v>
      </c>
      <c r="K85" s="99">
        <f t="shared" si="58"/>
        <v>0</v>
      </c>
      <c r="L85" s="41">
        <f t="shared" si="58"/>
        <v>0</v>
      </c>
      <c r="M85" s="41">
        <f t="shared" si="58"/>
        <v>0</v>
      </c>
      <c r="N85" s="41">
        <f t="shared" si="58"/>
        <v>185</v>
      </c>
      <c r="O85" s="41">
        <f t="shared" si="58"/>
        <v>185</v>
      </c>
      <c r="P85" s="41">
        <f t="shared" si="58"/>
        <v>185</v>
      </c>
      <c r="R85" s="89">
        <f t="shared" si="61"/>
        <v>0</v>
      </c>
      <c r="S85" s="89">
        <f t="shared" si="62"/>
        <v>0</v>
      </c>
      <c r="T85" s="88">
        <f t="shared" si="63"/>
        <v>0</v>
      </c>
      <c r="U85" s="88">
        <f t="shared" si="64"/>
        <v>0</v>
      </c>
      <c r="V85" s="103">
        <f t="shared" si="59"/>
        <v>0</v>
      </c>
      <c r="W85" s="123">
        <f t="shared" si="59"/>
        <v>0</v>
      </c>
      <c r="X85" s="123">
        <f t="shared" si="59"/>
        <v>0</v>
      </c>
      <c r="Y85" s="88">
        <f t="shared" si="59"/>
        <v>0</v>
      </c>
      <c r="Z85" s="88">
        <f t="shared" si="59"/>
        <v>67000</v>
      </c>
      <c r="AB85" s="58"/>
      <c r="AC85" s="59"/>
      <c r="AD85" s="59"/>
      <c r="AE85" s="59"/>
      <c r="AF85" s="59"/>
      <c r="AG85" s="152"/>
      <c r="AI85" s="58"/>
      <c r="AJ85" s="152"/>
    </row>
    <row r="86" spans="2:36">
      <c r="B86" s="118" t="s">
        <v>40</v>
      </c>
      <c r="C86" s="89">
        <f>IF(C$36&gt;C71,C71,C$36)</f>
        <v>0</v>
      </c>
      <c r="D86" s="89">
        <f t="shared" si="60"/>
        <v>0</v>
      </c>
      <c r="E86" s="89">
        <f t="shared" si="60"/>
        <v>0</v>
      </c>
      <c r="F86" s="89">
        <f t="shared" si="60"/>
        <v>0</v>
      </c>
      <c r="G86" s="88">
        <f t="shared" si="60"/>
        <v>0</v>
      </c>
      <c r="H86" s="88">
        <f t="shared" si="60"/>
        <v>0</v>
      </c>
      <c r="I86" s="88">
        <f t="shared" si="56"/>
        <v>0</v>
      </c>
      <c r="J86" s="88">
        <f t="shared" si="57"/>
        <v>0</v>
      </c>
      <c r="K86" s="99">
        <f t="shared" si="58"/>
        <v>0</v>
      </c>
      <c r="L86" s="41">
        <f t="shared" si="58"/>
        <v>0</v>
      </c>
      <c r="M86" s="41">
        <f t="shared" si="58"/>
        <v>0</v>
      </c>
      <c r="N86" s="41">
        <f t="shared" si="58"/>
        <v>175</v>
      </c>
      <c r="O86" s="41">
        <f t="shared" si="58"/>
        <v>175</v>
      </c>
      <c r="P86" s="41">
        <f t="shared" si="58"/>
        <v>175</v>
      </c>
      <c r="R86" s="89">
        <f t="shared" si="61"/>
        <v>0</v>
      </c>
      <c r="S86" s="89">
        <f t="shared" si="62"/>
        <v>0</v>
      </c>
      <c r="T86" s="88">
        <f t="shared" si="63"/>
        <v>0</v>
      </c>
      <c r="U86" s="88">
        <f t="shared" si="64"/>
        <v>0</v>
      </c>
      <c r="V86" s="103">
        <f t="shared" si="59"/>
        <v>0</v>
      </c>
      <c r="W86" s="123">
        <f t="shared" si="59"/>
        <v>0</v>
      </c>
      <c r="X86" s="123">
        <f t="shared" si="59"/>
        <v>0</v>
      </c>
      <c r="Y86" s="88">
        <f t="shared" si="59"/>
        <v>0</v>
      </c>
      <c r="Z86" s="88">
        <f t="shared" si="59"/>
        <v>50000</v>
      </c>
      <c r="AB86" s="58"/>
      <c r="AC86" s="59"/>
      <c r="AD86" s="59"/>
      <c r="AE86" s="59"/>
      <c r="AF86" s="59"/>
      <c r="AG86" s="152"/>
      <c r="AI86" s="58"/>
      <c r="AJ86" s="152"/>
    </row>
    <row r="87" spans="2:36">
      <c r="B87" s="117" t="s">
        <v>7</v>
      </c>
      <c r="C87" s="89">
        <f t="shared" si="55"/>
        <v>0</v>
      </c>
      <c r="D87" s="89">
        <f t="shared" si="60"/>
        <v>0</v>
      </c>
      <c r="E87" s="89">
        <f t="shared" si="60"/>
        <v>0</v>
      </c>
      <c r="F87" s="89">
        <f t="shared" si="60"/>
        <v>0</v>
      </c>
      <c r="G87" s="88">
        <f t="shared" si="60"/>
        <v>0</v>
      </c>
      <c r="H87" s="88">
        <f t="shared" si="60"/>
        <v>0</v>
      </c>
      <c r="I87" s="88">
        <f t="shared" si="56"/>
        <v>0</v>
      </c>
      <c r="J87" s="88">
        <f t="shared" si="57"/>
        <v>0</v>
      </c>
      <c r="K87" s="99">
        <f t="shared" si="58"/>
        <v>0</v>
      </c>
      <c r="L87" s="41">
        <f t="shared" si="58"/>
        <v>0</v>
      </c>
      <c r="M87" s="41">
        <f t="shared" si="58"/>
        <v>0</v>
      </c>
      <c r="N87" s="41">
        <f t="shared" si="58"/>
        <v>215</v>
      </c>
      <c r="O87" s="41">
        <f t="shared" si="58"/>
        <v>215</v>
      </c>
      <c r="P87" s="41">
        <f t="shared" si="58"/>
        <v>215</v>
      </c>
      <c r="R87" s="89">
        <f t="shared" si="61"/>
        <v>0</v>
      </c>
      <c r="S87" s="89">
        <f t="shared" si="62"/>
        <v>0</v>
      </c>
      <c r="T87" s="88">
        <f t="shared" si="63"/>
        <v>0</v>
      </c>
      <c r="U87" s="88">
        <f t="shared" si="64"/>
        <v>0</v>
      </c>
      <c r="V87" s="103">
        <f t="shared" si="59"/>
        <v>0</v>
      </c>
      <c r="W87" s="123">
        <f t="shared" si="59"/>
        <v>0</v>
      </c>
      <c r="X87" s="123">
        <f t="shared" si="59"/>
        <v>0</v>
      </c>
      <c r="Y87" s="88">
        <f t="shared" si="59"/>
        <v>0</v>
      </c>
      <c r="Z87" s="88">
        <f t="shared" si="59"/>
        <v>50000</v>
      </c>
      <c r="AB87" s="58"/>
      <c r="AC87" s="59"/>
      <c r="AD87" s="59"/>
      <c r="AE87" s="59"/>
      <c r="AF87" s="59"/>
      <c r="AG87" s="152"/>
      <c r="AI87" s="58"/>
      <c r="AJ87" s="152"/>
    </row>
    <row r="88" spans="2:36">
      <c r="B88" s="118" t="s">
        <v>41</v>
      </c>
      <c r="C88" s="89">
        <f t="shared" si="55"/>
        <v>0</v>
      </c>
      <c r="D88" s="89">
        <f t="shared" si="60"/>
        <v>0</v>
      </c>
      <c r="E88" s="89">
        <f t="shared" si="60"/>
        <v>0</v>
      </c>
      <c r="F88" s="89">
        <f t="shared" si="60"/>
        <v>0</v>
      </c>
      <c r="G88" s="88">
        <f t="shared" si="60"/>
        <v>0</v>
      </c>
      <c r="H88" s="88">
        <f t="shared" si="60"/>
        <v>0</v>
      </c>
      <c r="I88" s="88">
        <f t="shared" si="56"/>
        <v>0</v>
      </c>
      <c r="J88" s="88">
        <f t="shared" si="57"/>
        <v>0</v>
      </c>
      <c r="K88" s="99">
        <f t="shared" si="58"/>
        <v>216</v>
      </c>
      <c r="L88" s="41">
        <f t="shared" si="58"/>
        <v>216</v>
      </c>
      <c r="M88" s="41">
        <f t="shared" si="58"/>
        <v>216</v>
      </c>
      <c r="N88" s="41">
        <f t="shared" si="58"/>
        <v>0</v>
      </c>
      <c r="O88" s="41">
        <f t="shared" si="58"/>
        <v>0</v>
      </c>
      <c r="P88" s="41">
        <f t="shared" si="58"/>
        <v>0</v>
      </c>
      <c r="R88" s="89">
        <f t="shared" si="61"/>
        <v>0</v>
      </c>
      <c r="S88" s="89">
        <f t="shared" si="62"/>
        <v>0</v>
      </c>
      <c r="T88" s="88">
        <f t="shared" si="63"/>
        <v>0</v>
      </c>
      <c r="U88" s="88">
        <f t="shared" si="64"/>
        <v>0</v>
      </c>
      <c r="V88" s="103">
        <f t="shared" si="59"/>
        <v>42165</v>
      </c>
      <c r="W88" s="123">
        <f t="shared" si="59"/>
        <v>0</v>
      </c>
      <c r="X88" s="123">
        <f t="shared" si="59"/>
        <v>50000</v>
      </c>
      <c r="Y88" s="88">
        <f t="shared" si="59"/>
        <v>0</v>
      </c>
      <c r="Z88" s="88">
        <f t="shared" si="59"/>
        <v>0</v>
      </c>
      <c r="AB88" s="58"/>
      <c r="AC88" s="59"/>
      <c r="AD88" s="59"/>
      <c r="AE88" s="59"/>
      <c r="AF88" s="59"/>
      <c r="AG88" s="152"/>
      <c r="AI88" s="58"/>
      <c r="AJ88" s="152"/>
    </row>
    <row r="89" spans="2:36">
      <c r="B89" s="117" t="s">
        <v>42</v>
      </c>
      <c r="C89" s="89">
        <f t="shared" si="55"/>
        <v>0</v>
      </c>
      <c r="D89" s="89">
        <f t="shared" si="60"/>
        <v>0</v>
      </c>
      <c r="E89" s="89">
        <f t="shared" si="60"/>
        <v>0</v>
      </c>
      <c r="F89" s="89">
        <f t="shared" si="60"/>
        <v>0</v>
      </c>
      <c r="G89" s="88">
        <f t="shared" si="60"/>
        <v>0</v>
      </c>
      <c r="H89" s="88">
        <f t="shared" si="60"/>
        <v>0</v>
      </c>
      <c r="I89" s="88">
        <f t="shared" si="56"/>
        <v>0</v>
      </c>
      <c r="J89" s="88">
        <f t="shared" si="57"/>
        <v>0</v>
      </c>
      <c r="K89" s="99">
        <f t="shared" si="58"/>
        <v>716</v>
      </c>
      <c r="L89" s="41">
        <f t="shared" si="58"/>
        <v>716</v>
      </c>
      <c r="M89" s="41">
        <f t="shared" si="58"/>
        <v>716</v>
      </c>
      <c r="N89" s="41">
        <f t="shared" si="58"/>
        <v>0</v>
      </c>
      <c r="O89" s="41">
        <f t="shared" si="58"/>
        <v>0</v>
      </c>
      <c r="P89" s="41">
        <f t="shared" si="58"/>
        <v>0</v>
      </c>
      <c r="R89" s="89">
        <f t="shared" si="61"/>
        <v>0</v>
      </c>
      <c r="S89" s="89">
        <f t="shared" si="62"/>
        <v>0</v>
      </c>
      <c r="T89" s="88">
        <f>IF(T$36&gt;T74,T74,T$36)</f>
        <v>0</v>
      </c>
      <c r="U89" s="88">
        <f t="shared" si="64"/>
        <v>0</v>
      </c>
      <c r="V89" s="103">
        <f t="shared" si="59"/>
        <v>39030</v>
      </c>
      <c r="W89" s="123">
        <f t="shared" si="59"/>
        <v>0</v>
      </c>
      <c r="X89" s="123">
        <f t="shared" si="59"/>
        <v>50000</v>
      </c>
      <c r="Y89" s="88">
        <f t="shared" si="59"/>
        <v>0</v>
      </c>
      <c r="Z89" s="88">
        <f t="shared" si="59"/>
        <v>0</v>
      </c>
      <c r="AB89" s="58"/>
      <c r="AC89" s="59"/>
      <c r="AD89" s="59"/>
      <c r="AE89" s="59"/>
      <c r="AF89" s="59"/>
      <c r="AG89" s="152"/>
      <c r="AI89" s="58"/>
      <c r="AJ89" s="152"/>
    </row>
    <row r="90" spans="2:36">
      <c r="B90" s="118" t="s">
        <v>43</v>
      </c>
      <c r="C90" s="89">
        <f t="shared" si="55"/>
        <v>0</v>
      </c>
      <c r="D90" s="89">
        <f t="shared" si="60"/>
        <v>0</v>
      </c>
      <c r="E90" s="89">
        <f t="shared" si="60"/>
        <v>0</v>
      </c>
      <c r="F90" s="89">
        <f t="shared" si="60"/>
        <v>0</v>
      </c>
      <c r="G90" s="88">
        <f t="shared" si="60"/>
        <v>0</v>
      </c>
      <c r="H90" s="88">
        <f t="shared" si="60"/>
        <v>0</v>
      </c>
      <c r="I90" s="88">
        <f t="shared" si="56"/>
        <v>0</v>
      </c>
      <c r="J90" s="88">
        <f t="shared" si="57"/>
        <v>0</v>
      </c>
      <c r="K90" s="99">
        <f t="shared" si="58"/>
        <v>215</v>
      </c>
      <c r="L90" s="41">
        <f t="shared" si="58"/>
        <v>215</v>
      </c>
      <c r="M90" s="41">
        <f t="shared" si="58"/>
        <v>215</v>
      </c>
      <c r="N90" s="41">
        <f t="shared" si="58"/>
        <v>0</v>
      </c>
      <c r="O90" s="41">
        <f t="shared" si="58"/>
        <v>0</v>
      </c>
      <c r="P90" s="41">
        <f t="shared" si="58"/>
        <v>0</v>
      </c>
      <c r="R90" s="89">
        <f t="shared" si="61"/>
        <v>0</v>
      </c>
      <c r="S90" s="89">
        <f t="shared" si="62"/>
        <v>0</v>
      </c>
      <c r="T90" s="88">
        <f t="shared" si="63"/>
        <v>0</v>
      </c>
      <c r="U90" s="88">
        <f t="shared" si="64"/>
        <v>0</v>
      </c>
      <c r="V90" s="103">
        <f t="shared" si="59"/>
        <v>39030</v>
      </c>
      <c r="W90" s="123">
        <f t="shared" si="59"/>
        <v>0</v>
      </c>
      <c r="X90" s="123">
        <f t="shared" si="59"/>
        <v>50000</v>
      </c>
      <c r="Y90" s="88">
        <f t="shared" si="59"/>
        <v>0</v>
      </c>
      <c r="Z90" s="88">
        <f t="shared" si="59"/>
        <v>0</v>
      </c>
      <c r="AB90" s="58"/>
      <c r="AC90" s="59"/>
      <c r="AD90" s="59"/>
      <c r="AE90" s="59"/>
      <c r="AF90" s="59"/>
      <c r="AG90" s="152"/>
      <c r="AI90" s="58"/>
      <c r="AJ90" s="152"/>
    </row>
    <row r="91" spans="2:36">
      <c r="B91" s="117" t="s">
        <v>44</v>
      </c>
      <c r="C91" s="89">
        <f t="shared" si="55"/>
        <v>0</v>
      </c>
      <c r="D91" s="89">
        <f t="shared" si="60"/>
        <v>0</v>
      </c>
      <c r="E91" s="89">
        <f t="shared" si="60"/>
        <v>0</v>
      </c>
      <c r="F91" s="89">
        <f t="shared" si="60"/>
        <v>0</v>
      </c>
      <c r="G91" s="88">
        <f t="shared" si="60"/>
        <v>0</v>
      </c>
      <c r="H91" s="88">
        <f t="shared" si="60"/>
        <v>0</v>
      </c>
      <c r="I91" s="88">
        <f t="shared" si="56"/>
        <v>0</v>
      </c>
      <c r="J91" s="88">
        <f t="shared" si="57"/>
        <v>0</v>
      </c>
      <c r="K91" s="99">
        <f t="shared" si="58"/>
        <v>215</v>
      </c>
      <c r="L91" s="41">
        <f t="shared" si="58"/>
        <v>215</v>
      </c>
      <c r="M91" s="41">
        <f t="shared" si="58"/>
        <v>215</v>
      </c>
      <c r="N91" s="41">
        <f t="shared" si="58"/>
        <v>0</v>
      </c>
      <c r="O91" s="41">
        <f t="shared" si="58"/>
        <v>0</v>
      </c>
      <c r="P91" s="41">
        <f t="shared" si="58"/>
        <v>0</v>
      </c>
      <c r="R91" s="89">
        <f t="shared" si="61"/>
        <v>0</v>
      </c>
      <c r="S91" s="89">
        <f t="shared" si="62"/>
        <v>0</v>
      </c>
      <c r="T91" s="88">
        <f t="shared" si="63"/>
        <v>0</v>
      </c>
      <c r="U91" s="88">
        <f t="shared" si="64"/>
        <v>0</v>
      </c>
      <c r="V91" s="103">
        <f t="shared" si="59"/>
        <v>42165</v>
      </c>
      <c r="W91" s="123">
        <f t="shared" si="59"/>
        <v>0</v>
      </c>
      <c r="X91" s="123">
        <f t="shared" si="59"/>
        <v>50000</v>
      </c>
      <c r="Y91" s="88">
        <f t="shared" si="59"/>
        <v>0</v>
      </c>
      <c r="Z91" s="88">
        <f t="shared" si="59"/>
        <v>0</v>
      </c>
      <c r="AB91" s="58"/>
      <c r="AC91" s="59"/>
      <c r="AD91" s="59"/>
      <c r="AE91" s="59"/>
      <c r="AF91" s="59"/>
      <c r="AG91" s="152"/>
      <c r="AI91" s="58"/>
      <c r="AJ91" s="152"/>
    </row>
    <row r="92" spans="2:36">
      <c r="B92" s="118" t="s">
        <v>45</v>
      </c>
      <c r="C92" s="89">
        <f t="shared" si="55"/>
        <v>0</v>
      </c>
      <c r="D92" s="89">
        <f t="shared" si="60"/>
        <v>0</v>
      </c>
      <c r="E92" s="89">
        <f t="shared" si="60"/>
        <v>0</v>
      </c>
      <c r="F92" s="89">
        <f t="shared" si="60"/>
        <v>0</v>
      </c>
      <c r="G92" s="88">
        <f t="shared" si="60"/>
        <v>0</v>
      </c>
      <c r="H92" s="88">
        <f t="shared" si="60"/>
        <v>0</v>
      </c>
      <c r="I92" s="88">
        <f t="shared" si="56"/>
        <v>0</v>
      </c>
      <c r="J92" s="88">
        <f t="shared" si="57"/>
        <v>0</v>
      </c>
      <c r="K92" s="99">
        <f t="shared" si="58"/>
        <v>0</v>
      </c>
      <c r="L92" s="41">
        <f t="shared" si="58"/>
        <v>0</v>
      </c>
      <c r="M92" s="41">
        <f t="shared" si="58"/>
        <v>0</v>
      </c>
      <c r="N92" s="41">
        <f t="shared" si="58"/>
        <v>175</v>
      </c>
      <c r="O92" s="41">
        <f t="shared" si="58"/>
        <v>175</v>
      </c>
      <c r="P92" s="41">
        <f t="shared" si="58"/>
        <v>175</v>
      </c>
      <c r="R92" s="89">
        <f t="shared" si="61"/>
        <v>0</v>
      </c>
      <c r="S92" s="89">
        <f t="shared" si="62"/>
        <v>0</v>
      </c>
      <c r="T92" s="88">
        <f t="shared" si="63"/>
        <v>0</v>
      </c>
      <c r="U92" s="88">
        <f t="shared" si="64"/>
        <v>0</v>
      </c>
      <c r="V92" s="103">
        <f t="shared" si="59"/>
        <v>0</v>
      </c>
      <c r="W92" s="123">
        <f t="shared" si="59"/>
        <v>0</v>
      </c>
      <c r="X92" s="123">
        <f t="shared" si="59"/>
        <v>0</v>
      </c>
      <c r="Y92" s="88">
        <f t="shared" si="59"/>
        <v>0</v>
      </c>
      <c r="Z92" s="88">
        <f t="shared" si="59"/>
        <v>48000</v>
      </c>
      <c r="AB92" s="58"/>
      <c r="AC92" s="59"/>
      <c r="AD92" s="59"/>
      <c r="AE92" s="59"/>
      <c r="AF92" s="59"/>
      <c r="AG92" s="152"/>
      <c r="AI92" s="58"/>
      <c r="AJ92" s="152"/>
    </row>
    <row r="93" spans="2:36">
      <c r="B93" s="117" t="s">
        <v>46</v>
      </c>
      <c r="C93" s="89">
        <f t="shared" si="55"/>
        <v>0</v>
      </c>
      <c r="D93" s="89">
        <f t="shared" si="60"/>
        <v>0</v>
      </c>
      <c r="E93" s="89">
        <f t="shared" si="60"/>
        <v>0</v>
      </c>
      <c r="F93" s="89">
        <f t="shared" si="60"/>
        <v>0</v>
      </c>
      <c r="G93" s="88">
        <f t="shared" si="60"/>
        <v>0</v>
      </c>
      <c r="H93" s="88">
        <f t="shared" si="60"/>
        <v>0</v>
      </c>
      <c r="I93" s="88">
        <f t="shared" si="56"/>
        <v>0</v>
      </c>
      <c r="J93" s="88">
        <f t="shared" si="57"/>
        <v>0</v>
      </c>
      <c r="K93" s="99">
        <f t="shared" ref="K93:P93" si="65">K78</f>
        <v>0</v>
      </c>
      <c r="L93" s="41">
        <f t="shared" si="65"/>
        <v>0</v>
      </c>
      <c r="M93" s="41">
        <f t="shared" si="65"/>
        <v>0</v>
      </c>
      <c r="N93" s="41">
        <f t="shared" si="65"/>
        <v>185</v>
      </c>
      <c r="O93" s="41">
        <f t="shared" si="65"/>
        <v>185</v>
      </c>
      <c r="P93" s="41">
        <f t="shared" si="65"/>
        <v>185</v>
      </c>
      <c r="R93" s="89">
        <f t="shared" si="61"/>
        <v>0</v>
      </c>
      <c r="S93" s="89">
        <f t="shared" si="62"/>
        <v>0</v>
      </c>
      <c r="T93" s="88">
        <f t="shared" si="63"/>
        <v>0</v>
      </c>
      <c r="U93" s="88">
        <f t="shared" si="64"/>
        <v>0</v>
      </c>
      <c r="V93" s="103">
        <f t="shared" ref="V93:Z94" si="66">V78</f>
        <v>0</v>
      </c>
      <c r="W93" s="123">
        <f t="shared" si="66"/>
        <v>0</v>
      </c>
      <c r="X93" s="123">
        <f t="shared" si="66"/>
        <v>0</v>
      </c>
      <c r="Y93" s="88">
        <f t="shared" si="66"/>
        <v>0</v>
      </c>
      <c r="Z93" s="88">
        <f t="shared" si="66"/>
        <v>67000</v>
      </c>
      <c r="AB93" s="58"/>
      <c r="AC93" s="59"/>
      <c r="AD93" s="59"/>
      <c r="AE93" s="59"/>
      <c r="AF93" s="59"/>
      <c r="AG93" s="152"/>
      <c r="AI93" s="58"/>
      <c r="AJ93" s="152"/>
    </row>
    <row r="94" spans="2:36">
      <c r="B94" s="118" t="s">
        <v>47</v>
      </c>
      <c r="C94" s="89">
        <f t="shared" si="55"/>
        <v>0</v>
      </c>
      <c r="D94" s="89">
        <f t="shared" si="60"/>
        <v>0</v>
      </c>
      <c r="E94" s="89">
        <f t="shared" si="60"/>
        <v>0</v>
      </c>
      <c r="F94" s="89">
        <f t="shared" si="60"/>
        <v>0</v>
      </c>
      <c r="G94" s="88">
        <f t="shared" si="60"/>
        <v>0</v>
      </c>
      <c r="H94" s="88">
        <f t="shared" si="60"/>
        <v>0</v>
      </c>
      <c r="I94" s="88">
        <f>IF(I79&gt;SUM(G$36:I$36),IF(I$36="up",I79-SUM(G$36:H$36),I$36),IF(I79&lt;=H$36,0,(I79-(SUM(G$36:H$36)))))</f>
        <v>0</v>
      </c>
      <c r="J94" s="88">
        <f>IF(J79&gt;SUM(G$36:J$36),IF(J$36="up",J79-SUM(G$36:I$36),J$36),IF(J79&lt;=(SUM(G$36:I$36)),0,(J79-(SUM(I$36:I$36)))))</f>
        <v>0</v>
      </c>
      <c r="K94" s="99">
        <f t="shared" ref="K94:P94" si="67">K79</f>
        <v>0</v>
      </c>
      <c r="L94" s="41">
        <f t="shared" si="67"/>
        <v>0</v>
      </c>
      <c r="M94" s="41">
        <f t="shared" si="67"/>
        <v>0</v>
      </c>
      <c r="N94" s="41">
        <f t="shared" si="67"/>
        <v>185</v>
      </c>
      <c r="O94" s="41">
        <f t="shared" si="67"/>
        <v>185</v>
      </c>
      <c r="P94" s="41">
        <f t="shared" si="67"/>
        <v>185</v>
      </c>
      <c r="R94" s="89">
        <f t="shared" si="61"/>
        <v>0</v>
      </c>
      <c r="S94" s="89">
        <f t="shared" si="62"/>
        <v>0</v>
      </c>
      <c r="T94" s="88">
        <f t="shared" si="63"/>
        <v>0</v>
      </c>
      <c r="U94" s="88">
        <f t="shared" si="64"/>
        <v>0</v>
      </c>
      <c r="V94" s="103">
        <f t="shared" si="66"/>
        <v>0</v>
      </c>
      <c r="W94" s="123">
        <f t="shared" si="66"/>
        <v>0</v>
      </c>
      <c r="X94" s="123">
        <f t="shared" si="66"/>
        <v>0</v>
      </c>
      <c r="Y94" s="88">
        <f t="shared" si="66"/>
        <v>0</v>
      </c>
      <c r="Z94" s="88">
        <f t="shared" si="66"/>
        <v>67000</v>
      </c>
      <c r="AB94" s="153"/>
      <c r="AC94" s="154"/>
      <c r="AD94" s="154"/>
      <c r="AE94" s="154"/>
      <c r="AF94" s="154"/>
      <c r="AG94" s="155"/>
      <c r="AI94" s="153"/>
      <c r="AJ94" s="155"/>
    </row>
    <row r="95" spans="2:36">
      <c r="I95" s="89"/>
      <c r="J95" s="88"/>
    </row>
    <row r="97" spans="2:36" ht="13">
      <c r="B97" s="35" t="s">
        <v>116</v>
      </c>
      <c r="R97" s="101" t="s">
        <v>154</v>
      </c>
      <c r="AB97" s="101" t="s">
        <v>261</v>
      </c>
      <c r="AI97" s="122" t="s">
        <v>213</v>
      </c>
    </row>
    <row r="98" spans="2:36">
      <c r="B98" s="117" t="s">
        <v>37</v>
      </c>
      <c r="C98" s="41">
        <f t="shared" ref="C98:J109" si="68">C6*C83</f>
        <v>0</v>
      </c>
      <c r="D98" s="41">
        <f t="shared" si="68"/>
        <v>0</v>
      </c>
      <c r="E98" s="41">
        <f t="shared" si="68"/>
        <v>0</v>
      </c>
      <c r="F98" s="41">
        <f t="shared" si="68"/>
        <v>0</v>
      </c>
      <c r="G98" s="41">
        <f t="shared" si="68"/>
        <v>0</v>
      </c>
      <c r="H98" s="41">
        <f t="shared" si="68"/>
        <v>0</v>
      </c>
      <c r="I98" s="41">
        <f t="shared" si="68"/>
        <v>0</v>
      </c>
      <c r="J98" s="119">
        <f t="shared" si="68"/>
        <v>0</v>
      </c>
      <c r="K98" s="99">
        <f t="shared" ref="K98:P109" si="69">K6*K68</f>
        <v>0</v>
      </c>
      <c r="L98" s="41">
        <f t="shared" si="69"/>
        <v>0</v>
      </c>
      <c r="M98" s="41">
        <f t="shared" si="69"/>
        <v>0</v>
      </c>
      <c r="N98" s="41">
        <f t="shared" si="69"/>
        <v>0</v>
      </c>
      <c r="O98" s="41">
        <f t="shared" si="69"/>
        <v>1505.9</v>
      </c>
      <c r="P98" s="41">
        <f t="shared" si="69"/>
        <v>654.9</v>
      </c>
      <c r="R98" s="41">
        <f t="shared" ref="R98:Z98" si="70">R83*R6</f>
        <v>0</v>
      </c>
      <c r="S98" s="41">
        <f t="shared" si="70"/>
        <v>0</v>
      </c>
      <c r="T98" s="41">
        <f t="shared" si="70"/>
        <v>0</v>
      </c>
      <c r="U98" s="41">
        <f t="shared" si="70"/>
        <v>0</v>
      </c>
      <c r="V98" s="99">
        <f t="shared" si="70"/>
        <v>0</v>
      </c>
      <c r="W98" s="41">
        <f t="shared" si="70"/>
        <v>0</v>
      </c>
      <c r="X98" s="41">
        <f t="shared" si="70"/>
        <v>0</v>
      </c>
      <c r="Y98" s="41">
        <f t="shared" si="70"/>
        <v>0</v>
      </c>
      <c r="Z98" s="41">
        <f t="shared" si="70"/>
        <v>388.59999999999997</v>
      </c>
      <c r="AB98" s="41">
        <f t="shared" ref="AB98:AJ107" si="71">AB68*AB6</f>
        <v>0</v>
      </c>
      <c r="AC98" s="41">
        <f t="shared" si="71"/>
        <v>277.5</v>
      </c>
      <c r="AD98" s="41">
        <f>AD68*AD6</f>
        <v>0</v>
      </c>
      <c r="AE98" s="41">
        <f t="shared" si="71"/>
        <v>0</v>
      </c>
      <c r="AF98" s="41">
        <f t="shared" si="71"/>
        <v>335</v>
      </c>
      <c r="AG98" s="41">
        <f t="shared" si="71"/>
        <v>0</v>
      </c>
      <c r="AI98" s="41">
        <f t="shared" si="71"/>
        <v>141.15100000000001</v>
      </c>
      <c r="AJ98" s="41">
        <f t="shared" si="71"/>
        <v>49.817999999999998</v>
      </c>
    </row>
    <row r="99" spans="2:36">
      <c r="B99" s="118" t="s">
        <v>38</v>
      </c>
      <c r="C99" s="41">
        <f t="shared" si="68"/>
        <v>0</v>
      </c>
      <c r="D99" s="41">
        <f t="shared" si="68"/>
        <v>0</v>
      </c>
      <c r="E99" s="41">
        <f t="shared" si="68"/>
        <v>0</v>
      </c>
      <c r="F99" s="41">
        <f t="shared" si="68"/>
        <v>0</v>
      </c>
      <c r="G99" s="41">
        <f t="shared" si="68"/>
        <v>0</v>
      </c>
      <c r="H99" s="41">
        <f t="shared" si="68"/>
        <v>0</v>
      </c>
      <c r="I99" s="41">
        <f t="shared" si="68"/>
        <v>0</v>
      </c>
      <c r="J99" s="119">
        <f t="shared" si="68"/>
        <v>0</v>
      </c>
      <c r="K99" s="99">
        <f t="shared" si="69"/>
        <v>0</v>
      </c>
      <c r="L99" s="41">
        <f t="shared" si="69"/>
        <v>0</v>
      </c>
      <c r="M99" s="41">
        <f t="shared" si="69"/>
        <v>0</v>
      </c>
      <c r="N99" s="41">
        <f t="shared" si="69"/>
        <v>0</v>
      </c>
      <c r="O99" s="41">
        <f t="shared" si="69"/>
        <v>1505.9</v>
      </c>
      <c r="P99" s="41">
        <f t="shared" si="69"/>
        <v>654.9</v>
      </c>
      <c r="R99" s="41">
        <f t="shared" ref="R99:Z99" si="72">R84*R7</f>
        <v>0</v>
      </c>
      <c r="S99" s="41">
        <f t="shared" si="72"/>
        <v>0</v>
      </c>
      <c r="T99" s="41">
        <f t="shared" si="72"/>
        <v>0</v>
      </c>
      <c r="U99" s="41">
        <f t="shared" si="72"/>
        <v>0</v>
      </c>
      <c r="V99" s="99">
        <f t="shared" si="72"/>
        <v>0</v>
      </c>
      <c r="W99" s="41">
        <f t="shared" si="72"/>
        <v>0</v>
      </c>
      <c r="X99" s="41">
        <f t="shared" si="72"/>
        <v>0</v>
      </c>
      <c r="Y99" s="41">
        <f t="shared" si="72"/>
        <v>0</v>
      </c>
      <c r="Z99" s="41">
        <f t="shared" si="72"/>
        <v>388.59999999999997</v>
      </c>
      <c r="AB99" s="41">
        <f t="shared" si="71"/>
        <v>0</v>
      </c>
      <c r="AC99" s="41">
        <f t="shared" si="71"/>
        <v>277.5</v>
      </c>
      <c r="AD99" s="41">
        <f t="shared" si="71"/>
        <v>0</v>
      </c>
      <c r="AE99" s="41">
        <f t="shared" si="71"/>
        <v>0</v>
      </c>
      <c r="AF99" s="41">
        <f t="shared" si="71"/>
        <v>335</v>
      </c>
      <c r="AG99" s="41">
        <f t="shared" si="71"/>
        <v>0</v>
      </c>
      <c r="AI99" s="41">
        <f t="shared" ref="AI99:AJ109" si="73">AI69*AI7</f>
        <v>151.81</v>
      </c>
      <c r="AJ99" s="41">
        <f t="shared" si="73"/>
        <v>53.58</v>
      </c>
    </row>
    <row r="100" spans="2:36">
      <c r="B100" s="117" t="s">
        <v>39</v>
      </c>
      <c r="C100" s="41">
        <f t="shared" si="68"/>
        <v>0</v>
      </c>
      <c r="D100" s="41">
        <f t="shared" si="68"/>
        <v>0</v>
      </c>
      <c r="E100" s="41">
        <f t="shared" si="68"/>
        <v>0</v>
      </c>
      <c r="F100" s="41">
        <f t="shared" si="68"/>
        <v>0</v>
      </c>
      <c r="G100" s="41">
        <f t="shared" si="68"/>
        <v>0</v>
      </c>
      <c r="H100" s="41">
        <f t="shared" si="68"/>
        <v>0</v>
      </c>
      <c r="I100" s="41">
        <f t="shared" si="68"/>
        <v>0</v>
      </c>
      <c r="J100" s="119">
        <f t="shared" si="68"/>
        <v>0</v>
      </c>
      <c r="K100" s="99">
        <f t="shared" si="69"/>
        <v>0</v>
      </c>
      <c r="L100" s="41">
        <f t="shared" si="69"/>
        <v>0</v>
      </c>
      <c r="M100" s="41">
        <f t="shared" si="69"/>
        <v>0</v>
      </c>
      <c r="N100" s="41">
        <f t="shared" si="69"/>
        <v>0</v>
      </c>
      <c r="O100" s="41">
        <f t="shared" si="69"/>
        <v>1505.9</v>
      </c>
      <c r="P100" s="41">
        <f t="shared" si="69"/>
        <v>654.9</v>
      </c>
      <c r="R100" s="41">
        <f t="shared" ref="R100:Z100" si="74">R85*R8</f>
        <v>0</v>
      </c>
      <c r="S100" s="41">
        <f t="shared" si="74"/>
        <v>0</v>
      </c>
      <c r="T100" s="41">
        <f t="shared" si="74"/>
        <v>0</v>
      </c>
      <c r="U100" s="41">
        <f t="shared" si="74"/>
        <v>0</v>
      </c>
      <c r="V100" s="99">
        <f t="shared" si="74"/>
        <v>0</v>
      </c>
      <c r="W100" s="41">
        <f t="shared" si="74"/>
        <v>0</v>
      </c>
      <c r="X100" s="41">
        <f t="shared" si="74"/>
        <v>0</v>
      </c>
      <c r="Y100" s="41">
        <f t="shared" si="74"/>
        <v>0</v>
      </c>
      <c r="Z100" s="41">
        <f t="shared" si="74"/>
        <v>388.59999999999997</v>
      </c>
      <c r="AB100" s="41">
        <f t="shared" si="71"/>
        <v>0</v>
      </c>
      <c r="AC100" s="41">
        <f t="shared" si="71"/>
        <v>277.5</v>
      </c>
      <c r="AD100" s="41">
        <f t="shared" si="71"/>
        <v>0</v>
      </c>
      <c r="AE100" s="41">
        <f t="shared" si="71"/>
        <v>0</v>
      </c>
      <c r="AF100" s="41">
        <f t="shared" si="71"/>
        <v>335</v>
      </c>
      <c r="AG100" s="41">
        <f t="shared" si="71"/>
        <v>0</v>
      </c>
      <c r="AI100" s="41">
        <f t="shared" si="73"/>
        <v>141.15100000000001</v>
      </c>
      <c r="AJ100" s="41">
        <f t="shared" si="73"/>
        <v>49.817999999999998</v>
      </c>
    </row>
    <row r="101" spans="2:36">
      <c r="B101" s="118" t="s">
        <v>40</v>
      </c>
      <c r="C101" s="41">
        <f t="shared" si="68"/>
        <v>0</v>
      </c>
      <c r="D101" s="41">
        <f t="shared" si="68"/>
        <v>0</v>
      </c>
      <c r="E101" s="41">
        <f t="shared" si="68"/>
        <v>0</v>
      </c>
      <c r="F101" s="41">
        <f t="shared" si="68"/>
        <v>0</v>
      </c>
      <c r="G101" s="41">
        <f t="shared" si="68"/>
        <v>0</v>
      </c>
      <c r="H101" s="41">
        <f t="shared" si="68"/>
        <v>0</v>
      </c>
      <c r="I101" s="41">
        <f t="shared" si="68"/>
        <v>0</v>
      </c>
      <c r="J101" s="119">
        <f t="shared" si="68"/>
        <v>0</v>
      </c>
      <c r="K101" s="99">
        <f t="shared" si="69"/>
        <v>0</v>
      </c>
      <c r="L101" s="41">
        <f t="shared" si="69"/>
        <v>0</v>
      </c>
      <c r="M101" s="41">
        <f t="shared" si="69"/>
        <v>0</v>
      </c>
      <c r="N101" s="41">
        <f t="shared" si="69"/>
        <v>0</v>
      </c>
      <c r="O101" s="41">
        <f t="shared" si="69"/>
        <v>1424.5</v>
      </c>
      <c r="P101" s="41">
        <f t="shared" si="69"/>
        <v>619.5</v>
      </c>
      <c r="R101" s="41">
        <f t="shared" ref="R101:Z101" si="75">R86*R9</f>
        <v>0</v>
      </c>
      <c r="S101" s="41">
        <f t="shared" si="75"/>
        <v>0</v>
      </c>
      <c r="T101" s="41">
        <f t="shared" si="75"/>
        <v>0</v>
      </c>
      <c r="U101" s="41">
        <f t="shared" si="75"/>
        <v>0</v>
      </c>
      <c r="V101" s="99">
        <f t="shared" si="75"/>
        <v>0</v>
      </c>
      <c r="W101" s="41">
        <f t="shared" si="75"/>
        <v>0</v>
      </c>
      <c r="X101" s="41">
        <f t="shared" si="75"/>
        <v>0</v>
      </c>
      <c r="Y101" s="41">
        <f t="shared" si="75"/>
        <v>0</v>
      </c>
      <c r="Z101" s="41">
        <f t="shared" si="75"/>
        <v>290</v>
      </c>
      <c r="AB101" s="41">
        <f t="shared" si="71"/>
        <v>0</v>
      </c>
      <c r="AC101" s="41">
        <f t="shared" si="71"/>
        <v>262.5</v>
      </c>
      <c r="AD101" s="41">
        <f t="shared" si="71"/>
        <v>0</v>
      </c>
      <c r="AE101" s="41">
        <f t="shared" si="71"/>
        <v>0</v>
      </c>
      <c r="AF101" s="41">
        <f t="shared" si="71"/>
        <v>250</v>
      </c>
      <c r="AG101" s="41">
        <f t="shared" si="71"/>
        <v>0</v>
      </c>
      <c r="AI101" s="41">
        <f t="shared" si="73"/>
        <v>217.88050000000001</v>
      </c>
      <c r="AJ101" s="41">
        <f t="shared" si="73"/>
        <v>76.898999999999987</v>
      </c>
    </row>
    <row r="102" spans="2:36">
      <c r="B102" s="117" t="s">
        <v>7</v>
      </c>
      <c r="C102" s="41">
        <f t="shared" si="68"/>
        <v>0</v>
      </c>
      <c r="D102" s="41">
        <f t="shared" si="68"/>
        <v>0</v>
      </c>
      <c r="E102" s="41">
        <f t="shared" si="68"/>
        <v>0</v>
      </c>
      <c r="F102" s="41">
        <f t="shared" si="68"/>
        <v>0</v>
      </c>
      <c r="G102" s="41">
        <f t="shared" si="68"/>
        <v>0</v>
      </c>
      <c r="H102" s="41">
        <f t="shared" si="68"/>
        <v>0</v>
      </c>
      <c r="I102" s="41">
        <f t="shared" si="68"/>
        <v>0</v>
      </c>
      <c r="J102" s="119">
        <f t="shared" si="68"/>
        <v>0</v>
      </c>
      <c r="K102" s="99">
        <f t="shared" si="69"/>
        <v>0</v>
      </c>
      <c r="L102" s="41">
        <f t="shared" si="69"/>
        <v>0</v>
      </c>
      <c r="M102" s="41">
        <f t="shared" si="69"/>
        <v>0</v>
      </c>
      <c r="N102" s="41">
        <f t="shared" si="69"/>
        <v>0</v>
      </c>
      <c r="O102" s="41">
        <f t="shared" si="69"/>
        <v>1750.1000000000001</v>
      </c>
      <c r="P102" s="41">
        <f t="shared" si="69"/>
        <v>761.1</v>
      </c>
      <c r="R102" s="41">
        <f t="shared" ref="R102:Z102" si="76">R87*R10</f>
        <v>0</v>
      </c>
      <c r="S102" s="41">
        <f t="shared" si="76"/>
        <v>0</v>
      </c>
      <c r="T102" s="41">
        <f t="shared" si="76"/>
        <v>0</v>
      </c>
      <c r="U102" s="41">
        <f t="shared" si="76"/>
        <v>0</v>
      </c>
      <c r="V102" s="99">
        <f t="shared" si="76"/>
        <v>0</v>
      </c>
      <c r="W102" s="41">
        <f t="shared" si="76"/>
        <v>0</v>
      </c>
      <c r="X102" s="41">
        <f t="shared" si="76"/>
        <v>0</v>
      </c>
      <c r="Y102" s="41">
        <f t="shared" si="76"/>
        <v>0</v>
      </c>
      <c r="Z102" s="41">
        <f t="shared" si="76"/>
        <v>290</v>
      </c>
      <c r="AB102" s="41">
        <f t="shared" si="71"/>
        <v>0</v>
      </c>
      <c r="AC102" s="41">
        <f t="shared" si="71"/>
        <v>322.5</v>
      </c>
      <c r="AD102" s="41">
        <f t="shared" si="71"/>
        <v>0</v>
      </c>
      <c r="AE102" s="41">
        <f t="shared" si="71"/>
        <v>0</v>
      </c>
      <c r="AF102" s="41">
        <f t="shared" si="71"/>
        <v>250</v>
      </c>
      <c r="AG102" s="41">
        <f t="shared" si="71"/>
        <v>0</v>
      </c>
      <c r="AI102" s="41">
        <f t="shared" si="73"/>
        <v>151.351</v>
      </c>
      <c r="AJ102" s="41">
        <f t="shared" si="73"/>
        <v>53.417999999999992</v>
      </c>
    </row>
    <row r="103" spans="2:36">
      <c r="B103" s="118" t="s">
        <v>41</v>
      </c>
      <c r="C103" s="41">
        <f t="shared" si="68"/>
        <v>0</v>
      </c>
      <c r="D103" s="41">
        <f t="shared" si="68"/>
        <v>0</v>
      </c>
      <c r="E103" s="41">
        <f t="shared" si="68"/>
        <v>0</v>
      </c>
      <c r="F103" s="41">
        <f t="shared" si="68"/>
        <v>0</v>
      </c>
      <c r="G103" s="41">
        <f t="shared" si="68"/>
        <v>0</v>
      </c>
      <c r="H103" s="41">
        <f t="shared" si="68"/>
        <v>0</v>
      </c>
      <c r="I103" s="41">
        <f t="shared" si="68"/>
        <v>0</v>
      </c>
      <c r="J103" s="119">
        <f t="shared" si="68"/>
        <v>0</v>
      </c>
      <c r="K103" s="99">
        <f t="shared" si="69"/>
        <v>1265.76</v>
      </c>
      <c r="L103" s="41">
        <f t="shared" si="69"/>
        <v>2395.44</v>
      </c>
      <c r="M103" s="41">
        <f t="shared" si="69"/>
        <v>2363.04</v>
      </c>
      <c r="N103" s="41">
        <f t="shared" si="69"/>
        <v>0</v>
      </c>
      <c r="O103" s="41">
        <f t="shared" si="69"/>
        <v>0</v>
      </c>
      <c r="P103" s="41">
        <f t="shared" si="69"/>
        <v>0</v>
      </c>
      <c r="R103" s="41">
        <f t="shared" ref="R103:Z103" si="77">R88*R11</f>
        <v>0</v>
      </c>
      <c r="S103" s="41">
        <f t="shared" si="77"/>
        <v>0</v>
      </c>
      <c r="T103" s="41">
        <f t="shared" si="77"/>
        <v>0</v>
      </c>
      <c r="U103" s="41">
        <f t="shared" si="77"/>
        <v>0</v>
      </c>
      <c r="V103" s="99">
        <f t="shared" si="77"/>
        <v>0</v>
      </c>
      <c r="W103" s="41">
        <f t="shared" si="77"/>
        <v>0</v>
      </c>
      <c r="X103" s="41">
        <f t="shared" si="77"/>
        <v>290</v>
      </c>
      <c r="Y103" s="41">
        <f t="shared" si="77"/>
        <v>0</v>
      </c>
      <c r="Z103" s="41">
        <f t="shared" si="77"/>
        <v>0</v>
      </c>
      <c r="AB103" s="41">
        <f t="shared" si="71"/>
        <v>265.68</v>
      </c>
      <c r="AC103" s="41">
        <f t="shared" si="71"/>
        <v>324</v>
      </c>
      <c r="AD103" s="41">
        <f t="shared" si="71"/>
        <v>0</v>
      </c>
      <c r="AE103" s="41">
        <f t="shared" si="71"/>
        <v>0</v>
      </c>
      <c r="AF103" s="41">
        <f t="shared" si="71"/>
        <v>250</v>
      </c>
      <c r="AG103" s="41">
        <f t="shared" si="71"/>
        <v>0</v>
      </c>
      <c r="AI103" s="41">
        <f t="shared" si="73"/>
        <v>156.68050000000002</v>
      </c>
      <c r="AJ103" s="41">
        <f t="shared" si="73"/>
        <v>55.298999999999992</v>
      </c>
    </row>
    <row r="104" spans="2:36">
      <c r="B104" s="117" t="s">
        <v>42</v>
      </c>
      <c r="C104" s="41">
        <f t="shared" si="68"/>
        <v>0</v>
      </c>
      <c r="D104" s="41">
        <f t="shared" si="68"/>
        <v>0</v>
      </c>
      <c r="E104" s="41">
        <f t="shared" si="68"/>
        <v>0</v>
      </c>
      <c r="F104" s="41">
        <f t="shared" si="68"/>
        <v>0</v>
      </c>
      <c r="G104" s="41">
        <f t="shared" si="68"/>
        <v>0</v>
      </c>
      <c r="H104" s="41">
        <f t="shared" si="68"/>
        <v>0</v>
      </c>
      <c r="I104" s="41">
        <f t="shared" si="68"/>
        <v>0</v>
      </c>
      <c r="J104" s="119">
        <f t="shared" si="68"/>
        <v>0</v>
      </c>
      <c r="K104" s="99">
        <f t="shared" si="69"/>
        <v>4195.76</v>
      </c>
      <c r="L104" s="41">
        <f t="shared" si="69"/>
        <v>7940.44</v>
      </c>
      <c r="M104" s="41">
        <f t="shared" si="69"/>
        <v>7833.04</v>
      </c>
      <c r="N104" s="41">
        <f t="shared" si="69"/>
        <v>0</v>
      </c>
      <c r="O104" s="41">
        <f t="shared" si="69"/>
        <v>0</v>
      </c>
      <c r="P104" s="41">
        <f t="shared" si="69"/>
        <v>0</v>
      </c>
      <c r="R104" s="41">
        <f t="shared" ref="R104:Z104" si="78">R89*R12</f>
        <v>0</v>
      </c>
      <c r="S104" s="41">
        <f t="shared" si="78"/>
        <v>0</v>
      </c>
      <c r="T104" s="41">
        <f t="shared" si="78"/>
        <v>0</v>
      </c>
      <c r="U104" s="41">
        <f t="shared" si="78"/>
        <v>0</v>
      </c>
      <c r="V104" s="99">
        <f t="shared" si="78"/>
        <v>0</v>
      </c>
      <c r="W104" s="41">
        <f t="shared" si="78"/>
        <v>0</v>
      </c>
      <c r="X104" s="41">
        <f t="shared" si="78"/>
        <v>290</v>
      </c>
      <c r="Y104" s="41">
        <f t="shared" si="78"/>
        <v>0</v>
      </c>
      <c r="Z104" s="41">
        <f t="shared" si="78"/>
        <v>0</v>
      </c>
      <c r="AB104" s="41">
        <f t="shared" si="71"/>
        <v>880.68</v>
      </c>
      <c r="AC104" s="41">
        <f t="shared" si="71"/>
        <v>1074</v>
      </c>
      <c r="AD104" s="41">
        <f t="shared" si="71"/>
        <v>0</v>
      </c>
      <c r="AE104" s="41">
        <f t="shared" si="71"/>
        <v>0</v>
      </c>
      <c r="AF104" s="41">
        <f t="shared" si="71"/>
        <v>250</v>
      </c>
      <c r="AG104" s="41">
        <f t="shared" si="71"/>
        <v>0</v>
      </c>
      <c r="AI104" s="41">
        <f t="shared" si="73"/>
        <v>151.351</v>
      </c>
      <c r="AJ104" s="41">
        <f t="shared" si="73"/>
        <v>53.417999999999992</v>
      </c>
    </row>
    <row r="105" spans="2:36">
      <c r="B105" s="118" t="s">
        <v>43</v>
      </c>
      <c r="C105" s="41">
        <f t="shared" si="68"/>
        <v>0</v>
      </c>
      <c r="D105" s="41">
        <f t="shared" si="68"/>
        <v>0</v>
      </c>
      <c r="E105" s="41">
        <f t="shared" si="68"/>
        <v>0</v>
      </c>
      <c r="F105" s="41">
        <f t="shared" si="68"/>
        <v>0</v>
      </c>
      <c r="G105" s="41">
        <f t="shared" si="68"/>
        <v>0</v>
      </c>
      <c r="H105" s="41">
        <f t="shared" si="68"/>
        <v>0</v>
      </c>
      <c r="I105" s="41">
        <f t="shared" si="68"/>
        <v>0</v>
      </c>
      <c r="J105" s="119">
        <f t="shared" si="68"/>
        <v>0</v>
      </c>
      <c r="K105" s="99">
        <f t="shared" si="69"/>
        <v>1259.9000000000001</v>
      </c>
      <c r="L105" s="41">
        <f t="shared" si="69"/>
        <v>2384.35</v>
      </c>
      <c r="M105" s="41">
        <f t="shared" si="69"/>
        <v>2352.1</v>
      </c>
      <c r="N105" s="41">
        <f t="shared" si="69"/>
        <v>0</v>
      </c>
      <c r="O105" s="41">
        <f t="shared" si="69"/>
        <v>0</v>
      </c>
      <c r="P105" s="41">
        <f t="shared" si="69"/>
        <v>0</v>
      </c>
      <c r="R105" s="41">
        <f t="shared" ref="R105:Z105" si="79">R90*R13</f>
        <v>0</v>
      </c>
      <c r="S105" s="41">
        <f t="shared" si="79"/>
        <v>0</v>
      </c>
      <c r="T105" s="41">
        <f t="shared" si="79"/>
        <v>0</v>
      </c>
      <c r="U105" s="41">
        <f t="shared" si="79"/>
        <v>0</v>
      </c>
      <c r="V105" s="99">
        <f t="shared" si="79"/>
        <v>0</v>
      </c>
      <c r="W105" s="41">
        <f t="shared" si="79"/>
        <v>0</v>
      </c>
      <c r="X105" s="41">
        <f t="shared" si="79"/>
        <v>290</v>
      </c>
      <c r="Y105" s="41">
        <f t="shared" si="79"/>
        <v>0</v>
      </c>
      <c r="Z105" s="41">
        <f t="shared" si="79"/>
        <v>0</v>
      </c>
      <c r="AB105" s="41">
        <f t="shared" si="71"/>
        <v>264.45</v>
      </c>
      <c r="AC105" s="41">
        <f t="shared" si="71"/>
        <v>322.5</v>
      </c>
      <c r="AD105" s="41">
        <f t="shared" si="71"/>
        <v>0</v>
      </c>
      <c r="AE105" s="41">
        <f t="shared" si="71"/>
        <v>0</v>
      </c>
      <c r="AF105" s="41">
        <f t="shared" si="71"/>
        <v>250</v>
      </c>
      <c r="AG105" s="41">
        <f t="shared" si="71"/>
        <v>0</v>
      </c>
      <c r="AI105" s="41">
        <f t="shared" si="73"/>
        <v>151.351</v>
      </c>
      <c r="AJ105" s="41">
        <f t="shared" si="73"/>
        <v>53.417999999999992</v>
      </c>
    </row>
    <row r="106" spans="2:36">
      <c r="B106" s="117" t="s">
        <v>44</v>
      </c>
      <c r="C106" s="41">
        <f t="shared" si="68"/>
        <v>0</v>
      </c>
      <c r="D106" s="41">
        <f t="shared" si="68"/>
        <v>0</v>
      </c>
      <c r="E106" s="41">
        <f t="shared" si="68"/>
        <v>0</v>
      </c>
      <c r="F106" s="41">
        <f t="shared" si="68"/>
        <v>0</v>
      </c>
      <c r="G106" s="41">
        <f t="shared" si="68"/>
        <v>0</v>
      </c>
      <c r="H106" s="41">
        <f t="shared" si="68"/>
        <v>0</v>
      </c>
      <c r="I106" s="41">
        <f t="shared" si="68"/>
        <v>0</v>
      </c>
      <c r="J106" s="119">
        <f t="shared" si="68"/>
        <v>0</v>
      </c>
      <c r="K106" s="99">
        <f t="shared" si="69"/>
        <v>1259.9000000000001</v>
      </c>
      <c r="L106" s="41">
        <f t="shared" si="69"/>
        <v>2384.35</v>
      </c>
      <c r="M106" s="41">
        <f t="shared" si="69"/>
        <v>2352.1</v>
      </c>
      <c r="N106" s="41">
        <f t="shared" si="69"/>
        <v>0</v>
      </c>
      <c r="O106" s="41">
        <f t="shared" si="69"/>
        <v>0</v>
      </c>
      <c r="P106" s="41">
        <f t="shared" si="69"/>
        <v>0</v>
      </c>
      <c r="R106" s="41">
        <f t="shared" ref="R106:Z106" si="80">R91*R14</f>
        <v>0</v>
      </c>
      <c r="S106" s="41">
        <f t="shared" si="80"/>
        <v>0</v>
      </c>
      <c r="T106" s="41">
        <f t="shared" si="80"/>
        <v>0</v>
      </c>
      <c r="U106" s="41">
        <f t="shared" si="80"/>
        <v>0</v>
      </c>
      <c r="V106" s="99">
        <f t="shared" si="80"/>
        <v>0</v>
      </c>
      <c r="W106" s="41">
        <f t="shared" si="80"/>
        <v>0</v>
      </c>
      <c r="X106" s="41">
        <f t="shared" si="80"/>
        <v>290</v>
      </c>
      <c r="Y106" s="41">
        <f t="shared" si="80"/>
        <v>0</v>
      </c>
      <c r="Z106" s="41">
        <f t="shared" si="80"/>
        <v>0</v>
      </c>
      <c r="AB106" s="41">
        <f t="shared" si="71"/>
        <v>0</v>
      </c>
      <c r="AC106" s="41">
        <f t="shared" si="71"/>
        <v>0</v>
      </c>
      <c r="AD106" s="41">
        <f t="shared" si="71"/>
        <v>0</v>
      </c>
      <c r="AE106" s="41">
        <f t="shared" si="71"/>
        <v>0</v>
      </c>
      <c r="AF106" s="41">
        <f t="shared" si="71"/>
        <v>250</v>
      </c>
      <c r="AG106" s="41">
        <f t="shared" si="71"/>
        <v>0</v>
      </c>
      <c r="AI106" s="41">
        <f t="shared" si="73"/>
        <v>156.68050000000002</v>
      </c>
      <c r="AJ106" s="41">
        <f t="shared" si="73"/>
        <v>55.298999999999992</v>
      </c>
    </row>
    <row r="107" spans="2:36">
      <c r="B107" s="118" t="s">
        <v>45</v>
      </c>
      <c r="C107" s="41">
        <f t="shared" si="68"/>
        <v>0</v>
      </c>
      <c r="D107" s="41">
        <f t="shared" si="68"/>
        <v>0</v>
      </c>
      <c r="E107" s="41">
        <f t="shared" si="68"/>
        <v>0</v>
      </c>
      <c r="F107" s="41">
        <f t="shared" si="68"/>
        <v>0</v>
      </c>
      <c r="G107" s="41">
        <f t="shared" si="68"/>
        <v>0</v>
      </c>
      <c r="H107" s="41">
        <f t="shared" si="68"/>
        <v>0</v>
      </c>
      <c r="I107" s="41">
        <f t="shared" si="68"/>
        <v>0</v>
      </c>
      <c r="J107" s="119">
        <f t="shared" si="68"/>
        <v>0</v>
      </c>
      <c r="K107" s="99">
        <f t="shared" si="69"/>
        <v>0</v>
      </c>
      <c r="L107" s="41">
        <f t="shared" si="69"/>
        <v>0</v>
      </c>
      <c r="M107" s="41">
        <f t="shared" si="69"/>
        <v>0</v>
      </c>
      <c r="N107" s="41">
        <f t="shared" si="69"/>
        <v>0</v>
      </c>
      <c r="O107" s="41">
        <f t="shared" si="69"/>
        <v>1424.5</v>
      </c>
      <c r="P107" s="41">
        <f t="shared" si="69"/>
        <v>619.5</v>
      </c>
      <c r="R107" s="41">
        <f t="shared" ref="R107:Z107" si="81">R92*R15</f>
        <v>0</v>
      </c>
      <c r="S107" s="41">
        <f t="shared" si="81"/>
        <v>0</v>
      </c>
      <c r="T107" s="41">
        <f t="shared" si="81"/>
        <v>0</v>
      </c>
      <c r="U107" s="41">
        <f t="shared" si="81"/>
        <v>0</v>
      </c>
      <c r="V107" s="99">
        <f t="shared" si="81"/>
        <v>0</v>
      </c>
      <c r="W107" s="41">
        <f t="shared" si="81"/>
        <v>0</v>
      </c>
      <c r="X107" s="41">
        <f t="shared" si="81"/>
        <v>0</v>
      </c>
      <c r="Y107" s="41">
        <f t="shared" si="81"/>
        <v>0</v>
      </c>
      <c r="Z107" s="41">
        <f t="shared" si="81"/>
        <v>278.39999999999998</v>
      </c>
      <c r="AB107" s="41">
        <f t="shared" si="71"/>
        <v>0</v>
      </c>
      <c r="AC107" s="41">
        <f t="shared" si="71"/>
        <v>262.5</v>
      </c>
      <c r="AD107" s="41">
        <f t="shared" si="71"/>
        <v>0</v>
      </c>
      <c r="AE107" s="41">
        <f t="shared" si="71"/>
        <v>0</v>
      </c>
      <c r="AF107" s="41">
        <f t="shared" si="71"/>
        <v>240</v>
      </c>
      <c r="AG107" s="41">
        <f t="shared" si="71"/>
        <v>0</v>
      </c>
      <c r="AI107" s="41">
        <f t="shared" si="73"/>
        <v>108.85100000000001</v>
      </c>
      <c r="AJ107" s="41">
        <f t="shared" si="73"/>
        <v>38.417999999999999</v>
      </c>
    </row>
    <row r="108" spans="2:36">
      <c r="B108" s="117" t="s">
        <v>46</v>
      </c>
      <c r="C108" s="41">
        <f t="shared" si="68"/>
        <v>0</v>
      </c>
      <c r="D108" s="41">
        <f t="shared" si="68"/>
        <v>0</v>
      </c>
      <c r="E108" s="41">
        <f t="shared" si="68"/>
        <v>0</v>
      </c>
      <c r="F108" s="41">
        <f t="shared" si="68"/>
        <v>0</v>
      </c>
      <c r="G108" s="41">
        <f t="shared" si="68"/>
        <v>0</v>
      </c>
      <c r="H108" s="41">
        <f t="shared" si="68"/>
        <v>0</v>
      </c>
      <c r="I108" s="41">
        <f t="shared" si="68"/>
        <v>0</v>
      </c>
      <c r="J108" s="119">
        <f t="shared" si="68"/>
        <v>0</v>
      </c>
      <c r="K108" s="99">
        <f t="shared" si="69"/>
        <v>0</v>
      </c>
      <c r="L108" s="41">
        <f t="shared" si="69"/>
        <v>0</v>
      </c>
      <c r="M108" s="41">
        <f t="shared" si="69"/>
        <v>0</v>
      </c>
      <c r="N108" s="41">
        <f t="shared" si="69"/>
        <v>0</v>
      </c>
      <c r="O108" s="41">
        <f t="shared" si="69"/>
        <v>1505.9</v>
      </c>
      <c r="P108" s="41">
        <f t="shared" si="69"/>
        <v>654.9</v>
      </c>
      <c r="R108" s="41">
        <f t="shared" ref="R108:Z108" si="82">R93*R16</f>
        <v>0</v>
      </c>
      <c r="S108" s="41">
        <f t="shared" si="82"/>
        <v>0</v>
      </c>
      <c r="T108" s="41">
        <f t="shared" si="82"/>
        <v>0</v>
      </c>
      <c r="U108" s="41">
        <f t="shared" si="82"/>
        <v>0</v>
      </c>
      <c r="V108" s="99">
        <f t="shared" si="82"/>
        <v>0</v>
      </c>
      <c r="W108" s="41">
        <f t="shared" si="82"/>
        <v>0</v>
      </c>
      <c r="X108" s="41">
        <f t="shared" si="82"/>
        <v>0</v>
      </c>
      <c r="Y108" s="41">
        <f t="shared" si="82"/>
        <v>0</v>
      </c>
      <c r="Z108" s="41">
        <f t="shared" si="82"/>
        <v>388.59999999999997</v>
      </c>
      <c r="AB108" s="41">
        <f t="shared" ref="AB108:AG108" si="83">AB78*AB16</f>
        <v>0</v>
      </c>
      <c r="AC108" s="41">
        <f t="shared" si="83"/>
        <v>277.5</v>
      </c>
      <c r="AD108" s="41">
        <f t="shared" si="83"/>
        <v>0</v>
      </c>
      <c r="AE108" s="41">
        <f t="shared" si="83"/>
        <v>0</v>
      </c>
      <c r="AF108" s="41">
        <f t="shared" si="83"/>
        <v>335</v>
      </c>
      <c r="AG108" s="41">
        <f t="shared" si="83"/>
        <v>0</v>
      </c>
      <c r="AI108" s="41">
        <f t="shared" si="73"/>
        <v>146.48050000000001</v>
      </c>
      <c r="AJ108" s="41">
        <f t="shared" si="73"/>
        <v>51.698999999999998</v>
      </c>
    </row>
    <row r="109" spans="2:36">
      <c r="B109" s="118" t="s">
        <v>47</v>
      </c>
      <c r="C109" s="41">
        <f t="shared" si="68"/>
        <v>0</v>
      </c>
      <c r="D109" s="41">
        <f t="shared" si="68"/>
        <v>0</v>
      </c>
      <c r="E109" s="41">
        <f t="shared" si="68"/>
        <v>0</v>
      </c>
      <c r="F109" s="41">
        <f t="shared" si="68"/>
        <v>0</v>
      </c>
      <c r="G109" s="41">
        <f t="shared" si="68"/>
        <v>0</v>
      </c>
      <c r="H109" s="41">
        <f t="shared" si="68"/>
        <v>0</v>
      </c>
      <c r="I109" s="41">
        <f t="shared" si="68"/>
        <v>0</v>
      </c>
      <c r="J109" s="119">
        <f t="shared" si="68"/>
        <v>0</v>
      </c>
      <c r="K109" s="99">
        <f t="shared" si="69"/>
        <v>0</v>
      </c>
      <c r="L109" s="41">
        <f t="shared" si="69"/>
        <v>0</v>
      </c>
      <c r="M109" s="41">
        <f t="shared" si="69"/>
        <v>0</v>
      </c>
      <c r="N109" s="41">
        <f t="shared" si="69"/>
        <v>0</v>
      </c>
      <c r="O109" s="41">
        <f t="shared" si="69"/>
        <v>1505.9</v>
      </c>
      <c r="P109" s="41">
        <f t="shared" si="69"/>
        <v>654.9</v>
      </c>
      <c r="R109" s="41">
        <f t="shared" ref="R109:Z109" si="84">R94*R17</f>
        <v>0</v>
      </c>
      <c r="S109" s="41">
        <f t="shared" si="84"/>
        <v>0</v>
      </c>
      <c r="T109" s="41">
        <f t="shared" si="84"/>
        <v>0</v>
      </c>
      <c r="U109" s="41">
        <f t="shared" si="84"/>
        <v>0</v>
      </c>
      <c r="V109" s="99">
        <f t="shared" si="84"/>
        <v>0</v>
      </c>
      <c r="W109" s="41">
        <f t="shared" si="84"/>
        <v>0</v>
      </c>
      <c r="X109" s="41">
        <f t="shared" si="84"/>
        <v>0</v>
      </c>
      <c r="Y109" s="41">
        <f t="shared" si="84"/>
        <v>0</v>
      </c>
      <c r="Z109" s="41">
        <f t="shared" si="84"/>
        <v>388.59999999999997</v>
      </c>
      <c r="AB109" s="41">
        <f t="shared" ref="AB109:AG109" si="85">AB79*AB17</f>
        <v>0</v>
      </c>
      <c r="AC109" s="41">
        <f t="shared" si="85"/>
        <v>277.5</v>
      </c>
      <c r="AD109" s="41">
        <f t="shared" si="85"/>
        <v>0</v>
      </c>
      <c r="AE109" s="41">
        <f t="shared" si="85"/>
        <v>0</v>
      </c>
      <c r="AF109" s="41">
        <f t="shared" si="85"/>
        <v>335</v>
      </c>
      <c r="AG109" s="41">
        <f t="shared" si="85"/>
        <v>0</v>
      </c>
      <c r="AI109" s="41">
        <f t="shared" si="73"/>
        <v>141.15100000000001</v>
      </c>
      <c r="AJ109" s="41">
        <f t="shared" si="73"/>
        <v>49.817999999999998</v>
      </c>
    </row>
    <row r="110" spans="2:36">
      <c r="B110" s="37" t="s">
        <v>65</v>
      </c>
      <c r="C110" s="120">
        <f t="shared" ref="C110:P110" si="86">SUM(C98:C109)</f>
        <v>0</v>
      </c>
      <c r="D110" s="120">
        <f t="shared" si="86"/>
        <v>0</v>
      </c>
      <c r="E110" s="120">
        <f t="shared" si="86"/>
        <v>0</v>
      </c>
      <c r="F110" s="120">
        <f t="shared" si="86"/>
        <v>0</v>
      </c>
      <c r="G110" s="120">
        <f t="shared" si="86"/>
        <v>0</v>
      </c>
      <c r="H110" s="120">
        <f t="shared" si="86"/>
        <v>0</v>
      </c>
      <c r="I110" s="120">
        <f t="shared" si="86"/>
        <v>0</v>
      </c>
      <c r="J110" s="120">
        <f t="shared" si="86"/>
        <v>0</v>
      </c>
      <c r="K110" s="120">
        <f t="shared" si="86"/>
        <v>7981.32</v>
      </c>
      <c r="L110" s="120">
        <f t="shared" si="86"/>
        <v>15104.58</v>
      </c>
      <c r="M110" s="120">
        <f t="shared" si="86"/>
        <v>14900.28</v>
      </c>
      <c r="N110" s="120">
        <f t="shared" si="86"/>
        <v>0</v>
      </c>
      <c r="O110" s="120">
        <f t="shared" si="86"/>
        <v>12128.6</v>
      </c>
      <c r="P110" s="120">
        <f t="shared" si="86"/>
        <v>5274.5999999999995</v>
      </c>
      <c r="R110" s="120">
        <f>SUM(R98:R109)</f>
        <v>0</v>
      </c>
      <c r="S110" s="120">
        <f t="shared" ref="S110:AB110" si="87">SUM(S98:S109)</f>
        <v>0</v>
      </c>
      <c r="T110" s="120">
        <f t="shared" si="87"/>
        <v>0</v>
      </c>
      <c r="U110" s="120">
        <f t="shared" si="87"/>
        <v>0</v>
      </c>
      <c r="V110" s="120">
        <f t="shared" si="87"/>
        <v>0</v>
      </c>
      <c r="W110" s="120">
        <f t="shared" si="87"/>
        <v>0</v>
      </c>
      <c r="X110" s="120">
        <f t="shared" si="87"/>
        <v>1160</v>
      </c>
      <c r="Y110" s="120">
        <f t="shared" si="87"/>
        <v>0</v>
      </c>
      <c r="Z110" s="120">
        <f t="shared" si="87"/>
        <v>2801.3999999999996</v>
      </c>
      <c r="AB110" s="120">
        <f t="shared" si="87"/>
        <v>1410.81</v>
      </c>
      <c r="AC110" s="120">
        <f>SUM(AC98:AC109)</f>
        <v>3955.5</v>
      </c>
      <c r="AD110" s="120">
        <f>SUM(AD98:AD109)</f>
        <v>0</v>
      </c>
      <c r="AE110" s="120">
        <f>SUM(AE98:AE109)</f>
        <v>0</v>
      </c>
      <c r="AF110" s="120">
        <f>SUM(AF98:AF109)</f>
        <v>3415</v>
      </c>
      <c r="AG110" s="120">
        <f>SUM(AG98:AG109)</f>
        <v>0</v>
      </c>
      <c r="AI110" s="120">
        <f>SUM(AI98:AI109)</f>
        <v>1815.8890000000004</v>
      </c>
      <c r="AJ110" s="120">
        <f>SUM(AJ98:AJ109)</f>
        <v>640.90199999999993</v>
      </c>
    </row>
    <row r="111" spans="2:36">
      <c r="O111" s="210" t="s">
        <v>153</v>
      </c>
      <c r="P111" s="275">
        <f>SUM(C110:P110)</f>
        <v>55389.38</v>
      </c>
      <c r="Y111" s="34" t="s">
        <v>153</v>
      </c>
      <c r="Z111" s="275">
        <f>SUM(R110:Z110)</f>
        <v>3961.3999999999996</v>
      </c>
      <c r="AF111" s="210" t="s">
        <v>265</v>
      </c>
      <c r="AG111" s="275">
        <f>SUM(AB110:AG110)</f>
        <v>8781.31</v>
      </c>
      <c r="AI111" s="34" t="s">
        <v>153</v>
      </c>
      <c r="AJ111" s="275">
        <f>SUM(AI110:AJ110)</f>
        <v>2456.7910000000002</v>
      </c>
    </row>
    <row r="113" spans="1:36" customFormat="1" ht="13">
      <c r="A113" s="34"/>
      <c r="B113" s="35" t="s">
        <v>259</v>
      </c>
      <c r="R113" s="101" t="s">
        <v>252</v>
      </c>
      <c r="AB113" s="101" t="s">
        <v>262</v>
      </c>
      <c r="AI113" s="122" t="s">
        <v>272</v>
      </c>
    </row>
    <row r="114" spans="1:36" customFormat="1">
      <c r="A114" s="34"/>
      <c r="B114" s="117" t="s">
        <v>37</v>
      </c>
      <c r="C114" s="23"/>
      <c r="D114" s="23"/>
      <c r="E114" s="23"/>
      <c r="F114" s="23"/>
      <c r="G114" s="18">
        <f>MAX(Min_Draw,(G20-'CHP &amp; Energy'!$U4-'CHP &amp; Energy'!$T21))</f>
        <v>185</v>
      </c>
      <c r="H114" s="18">
        <f>MAX(Min_Draw,(H20-'CHP &amp; Energy'!$U4-'CHP &amp; Energy'!$T21))</f>
        <v>185</v>
      </c>
      <c r="I114" s="18">
        <f>MAX(Min_Draw,(I20-'CHP &amp; Energy'!$U4-'CHP &amp; Energy'!$T21))</f>
        <v>185</v>
      </c>
      <c r="J114" s="18">
        <f>MAX(Min_Draw,(J20-'CHP &amp; Energy'!$U4-'CHP &amp; Energy'!$T21))</f>
        <v>185</v>
      </c>
      <c r="K114" s="102"/>
      <c r="L114" s="23"/>
      <c r="M114" s="23"/>
      <c r="N114" s="100">
        <f>MAX(Min_Draw,(N20-'CHP &amp; Energy'!$U4-'CHP &amp; Energy'!$T21))</f>
        <v>185</v>
      </c>
      <c r="O114" s="100">
        <f>MAX(Min_Draw,(O20-'CHP &amp; Energy'!$U4-'CHP &amp; Energy'!$T21))</f>
        <v>185</v>
      </c>
      <c r="P114" s="211">
        <f>MAX(Min_Draw,(P20-'CHP &amp; Energy'!$U4-'CHP &amp; Energy'!$T21))</f>
        <v>185</v>
      </c>
      <c r="R114" s="370"/>
      <c r="S114" s="370"/>
      <c r="T114" s="100">
        <f>MAX((Min_Draw*'CHP &amp; Energy'!$R4),(T20-'CHP &amp; Energy'!$AB4-'CHP &amp; Energy'!$AA21))</f>
        <v>83030</v>
      </c>
      <c r="U114" s="100">
        <f>MAX((Min_Draw*'CHP &amp; Energy'!$R4),(U20-'CHP &amp; Energy'!$AB4-'CHP &amp; Energy'!$AA21))</f>
        <v>83030</v>
      </c>
      <c r="V114" s="369"/>
      <c r="W114" s="370"/>
      <c r="X114" s="370"/>
      <c r="Y114" s="100">
        <f>MAX((Min_Draw*'CHP &amp; Energy'!N4),(Y20-'CHP &amp; Energy'!X4-'CHP &amp; Energy'!$W21))</f>
        <v>0</v>
      </c>
      <c r="Z114" s="100">
        <f>MAX((Min_Draw*'CHP &amp; Energy'!$R4),(Z20-'CHP &amp; Energy'!AB4-'CHP &amp; Energy'!AA21))</f>
        <v>242</v>
      </c>
      <c r="AB114" s="88">
        <f t="shared" ref="AB114:AC118" si="88">N114</f>
        <v>185</v>
      </c>
      <c r="AC114" s="88">
        <f t="shared" si="88"/>
        <v>185</v>
      </c>
      <c r="AD114" s="88">
        <f>P114</f>
        <v>185</v>
      </c>
      <c r="AE114" s="88">
        <f>Y114</f>
        <v>0</v>
      </c>
      <c r="AF114" s="156">
        <f>MAX((Min_Draw*'CHP &amp; Energy'!$Q4),AF68-'CHP &amp; Energy'!X21)</f>
        <v>67000</v>
      </c>
      <c r="AG114" s="156">
        <f>MAX((Min_Draw*'CHP &amp; Energy'!$R4),AG68-'CHP &amp; Energy'!AA21)</f>
        <v>83030</v>
      </c>
      <c r="AI114" s="41">
        <f>'CHP &amp; Energy'!Q21-'CHP &amp; Energy'!AA21</f>
        <v>83030</v>
      </c>
      <c r="AJ114" s="41">
        <f>'CHP &amp; Energy'!Q21-'CHP &amp; Energy'!AA21</f>
        <v>83030</v>
      </c>
    </row>
    <row r="115" spans="1:36" customFormat="1">
      <c r="A115" s="34"/>
      <c r="B115" s="118" t="s">
        <v>38</v>
      </c>
      <c r="C115" s="23"/>
      <c r="D115" s="23"/>
      <c r="E115" s="23"/>
      <c r="F115" s="23"/>
      <c r="G115" s="18">
        <f>MAX(Min_Draw,(G21-'CHP &amp; Energy'!$U5-'CHP &amp; Energy'!$T22))</f>
        <v>185</v>
      </c>
      <c r="H115" s="18">
        <f>MAX(Min_Draw,(H21-'CHP &amp; Energy'!$U5-'CHP &amp; Energy'!$T22))</f>
        <v>185</v>
      </c>
      <c r="I115" s="18">
        <f>MAX(Min_Draw,(I21-'CHP &amp; Energy'!$U5-'CHP &amp; Energy'!$T22))</f>
        <v>185</v>
      </c>
      <c r="J115" s="18">
        <f>MAX(Min_Draw,(J21-'CHP &amp; Energy'!$U5-'CHP &amp; Energy'!$T22))</f>
        <v>185</v>
      </c>
      <c r="K115" s="102"/>
      <c r="L115" s="23"/>
      <c r="M115" s="23"/>
      <c r="N115" s="100">
        <f>MAX(Min_Draw,(N21-'CHP &amp; Energy'!$U5-'CHP &amp; Energy'!$T22))</f>
        <v>185</v>
      </c>
      <c r="O115" s="100">
        <f>MAX(Min_Draw,(O21-'CHP &amp; Energy'!$U5-'CHP &amp; Energy'!$T22))</f>
        <v>185</v>
      </c>
      <c r="P115" s="100">
        <f>MAX(Min_Draw,(P21-'CHP &amp; Energy'!$U5-'CHP &amp; Energy'!$T22))</f>
        <v>185</v>
      </c>
      <c r="R115" s="370"/>
      <c r="S115" s="370"/>
      <c r="T115" s="100">
        <f>MAX((Min_Draw*'CHP &amp; Energy'!$R5),(T21-'CHP &amp; Energy'!$AB5-'CHP &amp; Energy'!$AA22))</f>
        <v>89300</v>
      </c>
      <c r="U115" s="100">
        <f>MAX((Min_Draw*'CHP &amp; Energy'!$R5),(U21-'CHP &amp; Energy'!$AB5-'CHP &amp; Energy'!$AA22))</f>
        <v>89300</v>
      </c>
      <c r="V115" s="369"/>
      <c r="W115" s="370"/>
      <c r="X115" s="370"/>
      <c r="Y115" s="100">
        <f>MAX((Min_Draw*'CHP &amp; Energy'!N5),(Y21-'CHP &amp; Energy'!X5-'CHP &amp; Energy'!$W22))</f>
        <v>0</v>
      </c>
      <c r="Z115" s="100">
        <f>MAX((Min_Draw*'CHP &amp; Energy'!$R5),(Z21-'CHP &amp; Energy'!AB5-'CHP &amp; Energy'!AA22))</f>
        <v>4300</v>
      </c>
      <c r="AB115" s="88">
        <f t="shared" si="88"/>
        <v>185</v>
      </c>
      <c r="AC115" s="88">
        <f t="shared" si="88"/>
        <v>185</v>
      </c>
      <c r="AD115" s="88">
        <f>P115</f>
        <v>185</v>
      </c>
      <c r="AE115" s="88">
        <f>Y115</f>
        <v>0</v>
      </c>
      <c r="AF115" s="156">
        <f>MAX((Min_Draw*'CHP &amp; Energy'!$Q5),AF69-'CHP &amp; Energy'!X22)</f>
        <v>67000</v>
      </c>
      <c r="AG115" s="156">
        <f>MAX((Min_Draw*'CHP &amp; Energy'!$R5),AG69-'CHP &amp; Energy'!AA22)</f>
        <v>89300</v>
      </c>
      <c r="AI115" s="41">
        <f>'CHP &amp; Energy'!Q22-'CHP &amp; Energy'!AA22</f>
        <v>89300</v>
      </c>
      <c r="AJ115" s="41">
        <f>'CHP &amp; Energy'!Q22-'CHP &amp; Energy'!AA22</f>
        <v>89300</v>
      </c>
    </row>
    <row r="116" spans="1:36" customFormat="1">
      <c r="A116" s="34"/>
      <c r="B116" s="117" t="s">
        <v>39</v>
      </c>
      <c r="C116" s="23"/>
      <c r="D116" s="23"/>
      <c r="E116" s="23"/>
      <c r="F116" s="23"/>
      <c r="G116" s="18">
        <f>MAX(Min_Draw,(G22-'CHP &amp; Energy'!$U6-'CHP &amp; Energy'!$T23))</f>
        <v>185</v>
      </c>
      <c r="H116" s="18">
        <f>MAX(Min_Draw,(H22-'CHP &amp; Energy'!$U6-'CHP &amp; Energy'!$T23))</f>
        <v>185</v>
      </c>
      <c r="I116" s="18">
        <f>MAX(Min_Draw,(I22-'CHP &amp; Energy'!$U6-'CHP &amp; Energy'!$T23))</f>
        <v>185</v>
      </c>
      <c r="J116" s="18">
        <f>MAX(Min_Draw,(J22-'CHP &amp; Energy'!$U6-'CHP &amp; Energy'!$T23))</f>
        <v>185</v>
      </c>
      <c r="K116" s="102"/>
      <c r="L116" s="23"/>
      <c r="M116" s="23"/>
      <c r="N116" s="100">
        <f>MAX(Min_Draw,(N22-'CHP &amp; Energy'!$U6-'CHP &amp; Energy'!$T23))</f>
        <v>185</v>
      </c>
      <c r="O116" s="100">
        <f>MAX(Min_Draw,(O22-'CHP &amp; Energy'!$U6-'CHP &amp; Energy'!$T23))</f>
        <v>185</v>
      </c>
      <c r="P116" s="100">
        <f>MAX(Min_Draw,(P22-'CHP &amp; Energy'!$U6-'CHP &amp; Energy'!$T23))</f>
        <v>185</v>
      </c>
      <c r="R116" s="370"/>
      <c r="S116" s="370"/>
      <c r="T116" s="100">
        <f>MAX((Min_Draw*'CHP &amp; Energy'!$R6),(T22-'CHP &amp; Energy'!$AB6-'CHP &amp; Energy'!$AA23))</f>
        <v>83030</v>
      </c>
      <c r="U116" s="100">
        <f>MAX((Min_Draw*'CHP &amp; Energy'!$R6),(U22-'CHP &amp; Energy'!$AB6-'CHP &amp; Energy'!$AA23))</f>
        <v>83030</v>
      </c>
      <c r="V116" s="369"/>
      <c r="W116" s="370"/>
      <c r="X116" s="370"/>
      <c r="Y116" s="100">
        <f>MAX((Min_Draw*'CHP &amp; Energy'!N6),(Y22-'CHP &amp; Energy'!X6-'CHP &amp; Energy'!$W23))</f>
        <v>0</v>
      </c>
      <c r="Z116" s="100">
        <f>MAX((Min_Draw*'CHP &amp; Energy'!$R6),(Z22-'CHP &amp; Energy'!AB6-'CHP &amp; Energy'!AA23))</f>
        <v>242</v>
      </c>
      <c r="AB116" s="88">
        <f t="shared" si="88"/>
        <v>185</v>
      </c>
      <c r="AC116" s="88">
        <f t="shared" si="88"/>
        <v>185</v>
      </c>
      <c r="AD116" s="88">
        <f>P116</f>
        <v>185</v>
      </c>
      <c r="AE116" s="88">
        <f>Y116</f>
        <v>0</v>
      </c>
      <c r="AF116" s="156">
        <f>MAX((Min_Draw*'CHP &amp; Energy'!$Q6),AF70-'CHP &amp; Energy'!X23)</f>
        <v>67000</v>
      </c>
      <c r="AG116" s="156">
        <f>MAX((Min_Draw*'CHP &amp; Energy'!$R6),AG70-'CHP &amp; Energy'!AA23)</f>
        <v>83030</v>
      </c>
      <c r="AI116" s="41">
        <f>'CHP &amp; Energy'!Q23-'CHP &amp; Energy'!AA23</f>
        <v>83030</v>
      </c>
      <c r="AJ116" s="41">
        <f>'CHP &amp; Energy'!Q23-'CHP &amp; Energy'!AA23</f>
        <v>83030</v>
      </c>
    </row>
    <row r="117" spans="1:36" customFormat="1">
      <c r="A117" s="34"/>
      <c r="B117" s="118" t="s">
        <v>40</v>
      </c>
      <c r="C117" s="23"/>
      <c r="D117" s="23"/>
      <c r="E117" s="23"/>
      <c r="F117" s="23"/>
      <c r="G117" s="18">
        <f>MAX(Min_Draw,(G23-'CHP &amp; Energy'!$U7-'CHP &amp; Energy'!$T24))</f>
        <v>175</v>
      </c>
      <c r="H117" s="18">
        <f>MAX(Min_Draw,(H23-'CHP &amp; Energy'!$U7-'CHP &amp; Energy'!$T24))</f>
        <v>175</v>
      </c>
      <c r="I117" s="18">
        <f>MAX(Min_Draw,(I23-'CHP &amp; Energy'!$U7-'CHP &amp; Energy'!$T24))</f>
        <v>175</v>
      </c>
      <c r="J117" s="18">
        <f>MAX(Min_Draw,(J23-'CHP &amp; Energy'!$U7-'CHP &amp; Energy'!$T24))</f>
        <v>175</v>
      </c>
      <c r="K117" s="102"/>
      <c r="L117" s="23"/>
      <c r="M117" s="23"/>
      <c r="N117" s="100">
        <f>MAX(Min_Draw,(N23-'CHP &amp; Energy'!$U7-'CHP &amp; Energy'!$T24))</f>
        <v>175</v>
      </c>
      <c r="O117" s="100">
        <f>MAX(Min_Draw,(O23-'CHP &amp; Energy'!$U7-'CHP &amp; Energy'!$T24))</f>
        <v>175</v>
      </c>
      <c r="P117" s="100">
        <f>MAX(Min_Draw,(P23-'CHP &amp; Energy'!$U7-'CHP &amp; Energy'!$T24))</f>
        <v>175</v>
      </c>
      <c r="R117" s="370"/>
      <c r="S117" s="370"/>
      <c r="T117" s="100">
        <f>MAX((Min_Draw*'CHP &amp; Energy'!$R7),(T23-'CHP &amp; Energy'!$AB7-'CHP &amp; Energy'!$AA24))</f>
        <v>128165</v>
      </c>
      <c r="U117" s="100">
        <f>MAX((Min_Draw*'CHP &amp; Energy'!$R7),(U23-'CHP &amp; Energy'!$AB7-'CHP &amp; Energy'!$AA24))</f>
        <v>128165</v>
      </c>
      <c r="V117" s="369"/>
      <c r="W117" s="370"/>
      <c r="X117" s="370"/>
      <c r="Y117" s="100">
        <f>MAX((Min_Draw*'CHP &amp; Energy'!N7),(Y23-'CHP &amp; Energy'!X7-'CHP &amp; Energy'!$W24))</f>
        <v>0</v>
      </c>
      <c r="Z117" s="100">
        <f>MAX((Min_Draw*'CHP &amp; Energy'!$R7),(Z23-'CHP &amp; Energy'!AB7-'CHP &amp; Energy'!AA24))</f>
        <v>231</v>
      </c>
      <c r="AB117" s="88">
        <f t="shared" si="88"/>
        <v>175</v>
      </c>
      <c r="AC117" s="88">
        <f t="shared" si="88"/>
        <v>175</v>
      </c>
      <c r="AD117" s="88">
        <f>P117</f>
        <v>175</v>
      </c>
      <c r="AE117" s="88">
        <f>Y117</f>
        <v>0</v>
      </c>
      <c r="AF117" s="156">
        <f>MAX((Min_Draw*'CHP &amp; Energy'!$Q7),AF71-'CHP &amp; Energy'!X24)</f>
        <v>50000</v>
      </c>
      <c r="AG117" s="156">
        <f>MAX((Min_Draw*'CHP &amp; Energy'!$R7),AG71-'CHP &amp; Energy'!AA24)</f>
        <v>128165</v>
      </c>
      <c r="AI117" s="41">
        <f>'CHP &amp; Energy'!Q24-'CHP &amp; Energy'!AA24</f>
        <v>128165</v>
      </c>
      <c r="AJ117" s="41">
        <f>'CHP &amp; Energy'!Q24-'CHP &amp; Energy'!AA24</f>
        <v>128165</v>
      </c>
    </row>
    <row r="118" spans="1:36" customFormat="1">
      <c r="A118" s="34"/>
      <c r="B118" s="117" t="s">
        <v>7</v>
      </c>
      <c r="C118" s="23"/>
      <c r="D118" s="23"/>
      <c r="E118" s="23"/>
      <c r="F118" s="23"/>
      <c r="G118" s="18">
        <f>MAX(Min_Draw,(G24-'CHP &amp; Energy'!$U8-'CHP &amp; Energy'!$T25))</f>
        <v>185</v>
      </c>
      <c r="H118" s="18">
        <f>MAX(Min_Draw,(H24-'CHP &amp; Energy'!$U8-'CHP &amp; Energy'!$T25))</f>
        <v>185</v>
      </c>
      <c r="I118" s="18">
        <f>MAX(Min_Draw,(I24-'CHP &amp; Energy'!$U8-'CHP &amp; Energy'!$T25))</f>
        <v>185</v>
      </c>
      <c r="J118" s="18">
        <f>MAX(Min_Draw,(J24-'CHP &amp; Energy'!$U8-'CHP &amp; Energy'!$T25))</f>
        <v>185</v>
      </c>
      <c r="K118" s="102"/>
      <c r="L118" s="23"/>
      <c r="M118" s="23"/>
      <c r="N118" s="100">
        <f>MAX(Min_Draw,(N24-'CHP &amp; Energy'!$U8-'CHP &amp; Energy'!$T25))</f>
        <v>185</v>
      </c>
      <c r="O118" s="100">
        <f>MAX(Min_Draw,(O24-'CHP &amp; Energy'!$U8-'CHP &amp; Energy'!$T25))</f>
        <v>185</v>
      </c>
      <c r="P118" s="100">
        <f>MAX(Min_Draw,(P24-'CHP &amp; Energy'!$U8-'CHP &amp; Energy'!$T25))</f>
        <v>185</v>
      </c>
      <c r="R118" s="370"/>
      <c r="S118" s="370"/>
      <c r="T118" s="100">
        <f>MAX((Min_Draw*'CHP &amp; Energy'!$R8),(T24-'CHP &amp; Energy'!$AB8-'CHP &amp; Energy'!$AA25))</f>
        <v>81770</v>
      </c>
      <c r="U118" s="100">
        <f>MAX((Min_Draw*'CHP &amp; Energy'!$R8),(U24-'CHP &amp; Energy'!$AB8-'CHP &amp; Energy'!$AA25))</f>
        <v>81770</v>
      </c>
      <c r="V118" s="369"/>
      <c r="W118" s="370"/>
      <c r="X118" s="370"/>
      <c r="Y118" s="100">
        <f>MAX((Min_Draw*'CHP &amp; Energy'!N8),(Y24-'CHP &amp; Energy'!X8-'CHP &amp; Energy'!$W25))</f>
        <v>0</v>
      </c>
      <c r="Z118" s="100">
        <f>MAX((Min_Draw*'CHP &amp; Energy'!$R8),(Z24-'CHP &amp; Energy'!AB8-'CHP &amp; Energy'!AA25))</f>
        <v>242</v>
      </c>
      <c r="AB118" s="88">
        <f t="shared" si="88"/>
        <v>185</v>
      </c>
      <c r="AC118" s="88">
        <f t="shared" si="88"/>
        <v>185</v>
      </c>
      <c r="AD118" s="88">
        <f>P118</f>
        <v>185</v>
      </c>
      <c r="AE118" s="88">
        <f>Y118</f>
        <v>0</v>
      </c>
      <c r="AF118" s="156">
        <f>MAX((Min_Draw*'CHP &amp; Energy'!$Q8),AF72-'CHP &amp; Energy'!X25)</f>
        <v>50000</v>
      </c>
      <c r="AG118" s="156">
        <f>MAX((Min_Draw*'CHP &amp; Energy'!$R8),AG72-'CHP &amp; Energy'!AA25)</f>
        <v>81770</v>
      </c>
      <c r="AI118" s="41">
        <f>'CHP &amp; Energy'!Q25-'CHP &amp; Energy'!AA25</f>
        <v>81770</v>
      </c>
      <c r="AJ118" s="41">
        <f>'CHP &amp; Energy'!Q25-'CHP &amp; Energy'!AA25</f>
        <v>81770</v>
      </c>
    </row>
    <row r="119" spans="1:36" customFormat="1">
      <c r="A119" s="34"/>
      <c r="B119" s="118" t="s">
        <v>41</v>
      </c>
      <c r="C119" s="18">
        <f>MAX(Min_Draw,(C25-'CHP &amp; Energy'!$U9-'CHP &amp; Energy'!$T26))</f>
        <v>186</v>
      </c>
      <c r="D119" s="18">
        <f>MAX(Min_Draw,(D25-'CHP &amp; Energy'!$U9-'CHP &amp; Energy'!$T26))</f>
        <v>186</v>
      </c>
      <c r="E119" s="18">
        <f>MAX(Min_Draw,(E25-'CHP &amp; Energy'!$U9-'CHP &amp; Energy'!$T26))</f>
        <v>186</v>
      </c>
      <c r="F119" s="18">
        <f>MAX(Min_Draw,(F25-'CHP &amp; Energy'!$U9-'CHP &amp; Energy'!$T26))</f>
        <v>186</v>
      </c>
      <c r="G119" s="23"/>
      <c r="H119" s="23"/>
      <c r="I119" s="23"/>
      <c r="J119" s="23"/>
      <c r="K119" s="99">
        <f>MAX(Min_Draw,(K25-'CHP &amp; Energy'!$U9-'CHP &amp; Energy'!$T26))</f>
        <v>186</v>
      </c>
      <c r="L119" s="100">
        <f>MAX(Min_Draw,(L25-'CHP &amp; Energy'!$U9-'CHP &amp; Energy'!$T26))</f>
        <v>186</v>
      </c>
      <c r="M119" s="100">
        <f>MAX(Min_Draw,(M25-'CHP &amp; Energy'!$U9-'CHP &amp; Energy'!$T26))</f>
        <v>186</v>
      </c>
      <c r="N119" s="23"/>
      <c r="O119" s="23"/>
      <c r="P119" s="23"/>
      <c r="R119" s="100">
        <f>MAX((Min_Draw*'CHP &amp; Energy'!R9),(R25-'CHP &amp; Energy'!AB9-'CHP &amp; Energy'!AA26))</f>
        <v>85235</v>
      </c>
      <c r="S119" s="100">
        <f>MAX((Min_Draw*'CHP &amp; Energy'!$R9),(S25-'CHP &amp; Energy'!$AB9-'CHP &amp; Energy'!$AA26))</f>
        <v>85235</v>
      </c>
      <c r="T119" s="370"/>
      <c r="U119" s="370"/>
      <c r="V119" s="99">
        <f>MAX((Min_Draw*'CHP &amp; Energy'!M9),(V25-'CHP &amp; Energy'!W9-'CHP &amp; Energy'!W26))</f>
        <v>35235</v>
      </c>
      <c r="W119" s="100">
        <f>MAX((Min_Draw*'CHP &amp; Energy'!N9),(W25-'CHP &amp; Energy'!X9-'CHP &amp; Energy'!$W26))</f>
        <v>0</v>
      </c>
      <c r="X119" s="100">
        <f>MAX((Min_Draw*'CHP &amp; Energy'!R9),(X25-'CHP &amp; Energy'!AB9-'CHP &amp; Energy'!AA26))</f>
        <v>231</v>
      </c>
      <c r="Y119" s="370"/>
      <c r="Z119" s="370"/>
      <c r="AB119" s="89">
        <f t="shared" ref="AB119:AC121" si="89">K119</f>
        <v>186</v>
      </c>
      <c r="AC119" s="89">
        <f t="shared" si="89"/>
        <v>186</v>
      </c>
      <c r="AD119" s="89">
        <f>M119</f>
        <v>186</v>
      </c>
      <c r="AE119" s="89">
        <f>W119</f>
        <v>0</v>
      </c>
      <c r="AF119" s="89">
        <f>MAX((Min_Draw*'CHP &amp; Energy'!$Q9),AF73-'CHP &amp; Energy'!X26)</f>
        <v>50000</v>
      </c>
      <c r="AG119" s="89">
        <f>MAX((Min_Draw*'CHP &amp; Energy'!$R9),AG73-'CHP &amp; Energy'!AA26)</f>
        <v>85235</v>
      </c>
      <c r="AI119" s="41">
        <f>'CHP &amp; Energy'!Q26-'CHP &amp; Energy'!AA26</f>
        <v>85235</v>
      </c>
      <c r="AJ119" s="41">
        <f>'CHP &amp; Energy'!Q26-'CHP &amp; Energy'!AA26</f>
        <v>85235</v>
      </c>
    </row>
    <row r="120" spans="1:36" customFormat="1">
      <c r="A120" s="34"/>
      <c r="B120" s="117" t="s">
        <v>42</v>
      </c>
      <c r="C120" s="18">
        <f>MAX(Min_Draw,(C26-'CHP &amp; Energy'!$U10-'CHP &amp; Energy'!$T27))</f>
        <v>686</v>
      </c>
      <c r="D120" s="18">
        <f>MAX(Min_Draw,(D26-'CHP &amp; Energy'!$U10-'CHP &amp; Energy'!$T27))</f>
        <v>686</v>
      </c>
      <c r="E120" s="18">
        <f>MAX(Min_Draw,(E26-'CHP &amp; Energy'!$U10-'CHP &amp; Energy'!$T27))</f>
        <v>686</v>
      </c>
      <c r="F120" s="18">
        <f>MAX(Min_Draw,(F26-'CHP &amp; Energy'!$U10-'CHP &amp; Energy'!$T27))</f>
        <v>686</v>
      </c>
      <c r="G120" s="23"/>
      <c r="H120" s="23"/>
      <c r="I120" s="23"/>
      <c r="J120" s="23"/>
      <c r="K120" s="99">
        <f>MAX(Min_Draw,(K26-'CHP &amp; Energy'!$U10-'CHP &amp; Energy'!$T27))</f>
        <v>686</v>
      </c>
      <c r="L120" s="100">
        <f>MAX(Min_Draw,(L26-'CHP &amp; Energy'!$U10-'CHP &amp; Energy'!$T27))</f>
        <v>686</v>
      </c>
      <c r="M120" s="100">
        <f>MAX(Min_Draw,(M26-'CHP &amp; Energy'!$U10-'CHP &amp; Energy'!$T27))</f>
        <v>686</v>
      </c>
      <c r="N120" s="23"/>
      <c r="O120" s="23"/>
      <c r="P120" s="23"/>
      <c r="R120" s="100">
        <f>MAX((Min_Draw*'CHP &amp; Energy'!R10),(R26-'CHP &amp; Energy'!AB10-'CHP &amp; Energy'!AA27))</f>
        <v>81770</v>
      </c>
      <c r="S120" s="100">
        <f>MAX((Min_Draw*'CHP &amp; Energy'!$R10),(S26-'CHP &amp; Energy'!$AB10-'CHP &amp; Energy'!$AA27))</f>
        <v>81770</v>
      </c>
      <c r="T120" s="370"/>
      <c r="U120" s="370"/>
      <c r="V120" s="99">
        <f>MAX((Min_Draw*'CHP &amp; Energy'!M10),(V26-'CHP &amp; Energy'!W10-'CHP &amp; Energy'!W27))</f>
        <v>31770</v>
      </c>
      <c r="W120" s="100">
        <f>MAX((Min_Draw*'CHP &amp; Energy'!N10),(W26-'CHP &amp; Energy'!X10-'CHP &amp; Energy'!$W27))</f>
        <v>0</v>
      </c>
      <c r="X120" s="100">
        <f>MAX((Min_Draw*'CHP &amp; Energy'!R10),(X26-'CHP &amp; Energy'!AB10-'CHP &amp; Energy'!AA27))</f>
        <v>242</v>
      </c>
      <c r="Y120" s="370"/>
      <c r="Z120" s="370"/>
      <c r="AB120" s="89">
        <f t="shared" si="89"/>
        <v>686</v>
      </c>
      <c r="AC120" s="89">
        <f t="shared" si="89"/>
        <v>686</v>
      </c>
      <c r="AD120" s="89">
        <f>M120</f>
        <v>686</v>
      </c>
      <c r="AE120" s="89">
        <f>W120</f>
        <v>0</v>
      </c>
      <c r="AF120" s="89">
        <f>MAX((Min_Draw*'CHP &amp; Energy'!$Q10),AF74-'CHP &amp; Energy'!X27)</f>
        <v>50000</v>
      </c>
      <c r="AG120" s="89">
        <f>MAX((Min_Draw*'CHP &amp; Energy'!$R10),AG74-'CHP &amp; Energy'!AA27)</f>
        <v>81770</v>
      </c>
      <c r="AI120" s="41">
        <f>'CHP &amp; Energy'!Q27-'CHP &amp; Energy'!AA27</f>
        <v>81770</v>
      </c>
      <c r="AJ120" s="41">
        <f>'CHP &amp; Energy'!Q27-'CHP &amp; Energy'!AA27</f>
        <v>81770</v>
      </c>
    </row>
    <row r="121" spans="1:36" customFormat="1">
      <c r="A121" s="34"/>
      <c r="B121" s="118" t="s">
        <v>43</v>
      </c>
      <c r="C121" s="18">
        <f>MAX(Min_Draw,(C27-'CHP &amp; Energy'!$U11-'CHP &amp; Energy'!$T28))</f>
        <v>185</v>
      </c>
      <c r="D121" s="18">
        <f>MAX(Min_Draw,(D27-'CHP &amp; Energy'!$U11-'CHP &amp; Energy'!$T28))</f>
        <v>185</v>
      </c>
      <c r="E121" s="18">
        <f>MAX(Min_Draw,(E27-'CHP &amp; Energy'!$U11-'CHP &amp; Energy'!$T28))</f>
        <v>185</v>
      </c>
      <c r="F121" s="18">
        <f>MAX(Min_Draw,(F27-'CHP &amp; Energy'!$U11-'CHP &amp; Energy'!$T28))</f>
        <v>185</v>
      </c>
      <c r="G121" s="23"/>
      <c r="H121" s="23"/>
      <c r="I121" s="23"/>
      <c r="J121" s="23"/>
      <c r="K121" s="99">
        <f>MAX(Min_Draw,(K27-'CHP &amp; Energy'!$U11-'CHP &amp; Energy'!$T28))</f>
        <v>185</v>
      </c>
      <c r="L121" s="100">
        <f>MAX(Min_Draw,(L27-'CHP &amp; Energy'!$U11-'CHP &amp; Energy'!$T28))</f>
        <v>185</v>
      </c>
      <c r="M121" s="100">
        <f>MAX(Min_Draw,(M27-'CHP &amp; Energy'!$U11-'CHP &amp; Energy'!$T28))</f>
        <v>185</v>
      </c>
      <c r="N121" s="23"/>
      <c r="O121" s="23"/>
      <c r="P121" s="23"/>
      <c r="R121" s="100">
        <f>MAX((Min_Draw*'CHP &amp; Energy'!R11),(R27-'CHP &amp; Energy'!AB11-'CHP &amp; Energy'!AA28))</f>
        <v>81770</v>
      </c>
      <c r="S121" s="100">
        <f>MAX((Min_Draw*'CHP &amp; Energy'!$R11),(S27-'CHP &amp; Energy'!$AB11-'CHP &amp; Energy'!$AA28))</f>
        <v>81770</v>
      </c>
      <c r="T121" s="370"/>
      <c r="U121" s="370"/>
      <c r="V121" s="99">
        <f>MAX((Min_Draw*'CHP &amp; Energy'!M11),(V27-'CHP &amp; Energy'!W11-'CHP &amp; Energy'!W28))</f>
        <v>31770</v>
      </c>
      <c r="W121" s="100">
        <f>MAX((Min_Draw*'CHP &amp; Energy'!N11),(W27-'CHP &amp; Energy'!X11-'CHP &amp; Energy'!$W28))</f>
        <v>0</v>
      </c>
      <c r="X121" s="100">
        <f>MAX((Min_Draw*'CHP &amp; Energy'!R11),(X27-'CHP &amp; Energy'!AB11-'CHP &amp; Energy'!AA28))</f>
        <v>242</v>
      </c>
      <c r="Y121" s="370"/>
      <c r="Z121" s="370"/>
      <c r="AB121" s="89">
        <f t="shared" si="89"/>
        <v>185</v>
      </c>
      <c r="AC121" s="89">
        <f t="shared" si="89"/>
        <v>185</v>
      </c>
      <c r="AD121" s="89">
        <f>M121</f>
        <v>185</v>
      </c>
      <c r="AE121" s="89">
        <f>W121</f>
        <v>0</v>
      </c>
      <c r="AF121" s="89">
        <f>MAX((Min_Draw*'CHP &amp; Energy'!$Q11),AF75-'CHP &amp; Energy'!X28)</f>
        <v>50000</v>
      </c>
      <c r="AG121" s="89">
        <f>MAX((Min_Draw*'CHP &amp; Energy'!$R11),AG75-'CHP &amp; Energy'!AA28)</f>
        <v>81770</v>
      </c>
      <c r="AI121" s="41">
        <f>'CHP &amp; Energy'!Q28-'CHP &amp; Energy'!AA28</f>
        <v>81770</v>
      </c>
      <c r="AJ121" s="41">
        <f>'CHP &amp; Energy'!Q28-'CHP &amp; Energy'!AA28</f>
        <v>81770</v>
      </c>
    </row>
    <row r="122" spans="1:36" customFormat="1">
      <c r="A122" s="34"/>
      <c r="B122" s="117" t="s">
        <v>44</v>
      </c>
      <c r="C122" s="18">
        <f>MAX(Min_Draw,(C28-'CHP &amp; Energy'!$U12-'CHP &amp; Energy'!$T29))</f>
        <v>185</v>
      </c>
      <c r="D122" s="18">
        <f>MAX(Min_Draw,(D28-'CHP &amp; Energy'!$U12-'CHP &amp; Energy'!$T29))</f>
        <v>185</v>
      </c>
      <c r="E122" s="18">
        <f>MAX(Min_Draw,(E28-'CHP &amp; Energy'!$U12-'CHP &amp; Energy'!$T29))</f>
        <v>185</v>
      </c>
      <c r="F122" s="18">
        <f>MAX(Min_Draw,(F28-'CHP &amp; Energy'!$U12-'CHP &amp; Energy'!$T29))</f>
        <v>185</v>
      </c>
      <c r="G122" s="23"/>
      <c r="H122" s="23"/>
      <c r="I122" s="23"/>
      <c r="J122" s="23"/>
      <c r="K122" s="99">
        <f>MAX(Min_Draw,(K28-'CHP &amp; Energy'!$U12-'CHP &amp; Energy'!$T29))</f>
        <v>185</v>
      </c>
      <c r="L122" s="100">
        <f>MAX(Min_Draw,(L28-'CHP &amp; Energy'!$U12-'CHP &amp; Energy'!$T29))</f>
        <v>185</v>
      </c>
      <c r="M122" s="100">
        <f>MAX(Min_Draw,(M28-'CHP &amp; Energy'!$U12-'CHP &amp; Energy'!$T29))</f>
        <v>185</v>
      </c>
      <c r="N122" s="23"/>
      <c r="O122" s="23"/>
      <c r="P122" s="23"/>
      <c r="R122" s="100">
        <f>MAX((Min_Draw*'CHP &amp; Energy'!R12),(R28-'CHP &amp; Energy'!AB12-'CHP &amp; Energy'!AA29))</f>
        <v>85235</v>
      </c>
      <c r="S122" s="100">
        <f>MAX((Min_Draw*'CHP &amp; Energy'!$R12),(S28-'CHP &amp; Energy'!$AB12-'CHP &amp; Energy'!$AA29))</f>
        <v>85235</v>
      </c>
      <c r="T122" s="370"/>
      <c r="U122" s="370"/>
      <c r="V122" s="99">
        <f>MAX((Min_Draw*'CHP &amp; Energy'!M12),(V28-'CHP &amp; Energy'!W12-'CHP &amp; Energy'!W29))</f>
        <v>35235</v>
      </c>
      <c r="W122" s="100">
        <f>MAX((Min_Draw*'CHP &amp; Energy'!N12),(W28-'CHP &amp; Energy'!X12-'CHP &amp; Energy'!$W29))</f>
        <v>0</v>
      </c>
      <c r="X122" s="100">
        <f>MAX((Min_Draw*'CHP &amp; Energy'!R12),(X28-'CHP &amp; Energy'!AB12-'CHP &amp; Energy'!AA29))</f>
        <v>231</v>
      </c>
      <c r="Y122" s="370"/>
      <c r="Z122" s="370"/>
      <c r="AB122" s="88">
        <f t="shared" ref="AB122:AC125" si="90">N122</f>
        <v>0</v>
      </c>
      <c r="AC122" s="88">
        <f t="shared" si="90"/>
        <v>0</v>
      </c>
      <c r="AD122" s="88">
        <f>P122</f>
        <v>0</v>
      </c>
      <c r="AE122" s="88">
        <f>Y122</f>
        <v>0</v>
      </c>
      <c r="AF122" s="156">
        <f>MAX((Min_Draw*'CHP &amp; Energy'!$Q12),AF76-'CHP &amp; Energy'!X29)</f>
        <v>50000</v>
      </c>
      <c r="AG122" s="156">
        <f>MAX((Min_Draw*'CHP &amp; Energy'!$R12),AG76-'CHP &amp; Energy'!AA29)</f>
        <v>85235</v>
      </c>
      <c r="AI122" s="41">
        <f>'CHP &amp; Energy'!Q29-'CHP &amp; Energy'!AA29</f>
        <v>85235</v>
      </c>
      <c r="AJ122" s="41">
        <f>'CHP &amp; Energy'!Q29-'CHP &amp; Energy'!AA29</f>
        <v>85235</v>
      </c>
    </row>
    <row r="123" spans="1:36" customFormat="1">
      <c r="A123" s="34"/>
      <c r="B123" s="118" t="s">
        <v>45</v>
      </c>
      <c r="C123" s="23"/>
      <c r="D123" s="23"/>
      <c r="E123" s="23"/>
      <c r="F123" s="23"/>
      <c r="G123" s="18">
        <f>MAX(Min_Draw,(G29-'CHP &amp; Energy'!$U13-'CHP &amp; Energy'!$T30))</f>
        <v>175</v>
      </c>
      <c r="H123" s="18">
        <f>MAX(Min_Draw,(H29-'CHP &amp; Energy'!$U13-'CHP &amp; Energy'!$T30))</f>
        <v>175</v>
      </c>
      <c r="I123" s="18">
        <f>MAX(Min_Draw,(I29-'CHP &amp; Energy'!$U13-'CHP &amp; Energy'!$T30))</f>
        <v>175</v>
      </c>
      <c r="J123" s="18">
        <f>MAX(Min_Draw,(J29-'CHP &amp; Energy'!$U13-'CHP &amp; Energy'!$T30))</f>
        <v>175</v>
      </c>
      <c r="K123" s="102"/>
      <c r="L123" s="23"/>
      <c r="M123" s="23"/>
      <c r="N123" s="100">
        <f>MAX(Min_Draw,(N29-'CHP &amp; Energy'!$U13-'CHP &amp; Energy'!$T30))</f>
        <v>175</v>
      </c>
      <c r="O123" s="100">
        <f>MAX(Min_Draw,(O29-'CHP &amp; Energy'!$U13-'CHP &amp; Energy'!$T30))</f>
        <v>175</v>
      </c>
      <c r="P123" s="100">
        <f>MAX(Min_Draw,(P29-'CHP &amp; Energy'!$U13-'CHP &amp; Energy'!$T30))</f>
        <v>175</v>
      </c>
      <c r="R123" s="370"/>
      <c r="S123" s="370"/>
      <c r="T123" s="100">
        <f>MAX((Min_Draw*'CHP &amp; Energy'!$R13),(T29-'CHP &amp; Energy'!$AB13-'CHP &amp; Energy'!$AA30))</f>
        <v>64030</v>
      </c>
      <c r="U123" s="100">
        <f>MAX((Min_Draw*'CHP &amp; Energy'!$R13),(U29-'CHP &amp; Energy'!$AB13-'CHP &amp; Energy'!$AA30))</f>
        <v>64030</v>
      </c>
      <c r="V123" s="369"/>
      <c r="W123" s="370"/>
      <c r="X123" s="370"/>
      <c r="Y123" s="100">
        <f>MAX((Min_Draw*'CHP &amp; Energy'!N13),(Y29-'CHP &amp; Energy'!X13-'CHP &amp; Energy'!$W30))</f>
        <v>0</v>
      </c>
      <c r="Z123" s="100">
        <f>MAX((Min_Draw*'CHP &amp; Energy'!$R13),(Z29-'CHP &amp; Energy'!AB13-'CHP &amp; Energy'!AA30))</f>
        <v>242</v>
      </c>
      <c r="AB123" s="88">
        <f t="shared" si="90"/>
        <v>175</v>
      </c>
      <c r="AC123" s="88">
        <f t="shared" si="90"/>
        <v>175</v>
      </c>
      <c r="AD123" s="88">
        <f>P123</f>
        <v>175</v>
      </c>
      <c r="AE123" s="88">
        <f>Y123</f>
        <v>0</v>
      </c>
      <c r="AF123" s="156">
        <f>MAX((Min_Draw*'CHP &amp; Energy'!$Q13),AF77-'CHP &amp; Energy'!X30)</f>
        <v>48000</v>
      </c>
      <c r="AG123" s="156">
        <f>MAX((Min_Draw*'CHP &amp; Energy'!$R13),AG77-'CHP &amp; Energy'!AA30)</f>
        <v>64030</v>
      </c>
      <c r="AI123" s="41">
        <f>'CHP &amp; Energy'!Q30-'CHP &amp; Energy'!AA30</f>
        <v>64030</v>
      </c>
      <c r="AJ123" s="41">
        <f>'CHP &amp; Energy'!Q30-'CHP &amp; Energy'!AA30</f>
        <v>64030</v>
      </c>
    </row>
    <row r="124" spans="1:36" customFormat="1">
      <c r="A124" s="34"/>
      <c r="B124" s="117" t="s">
        <v>46</v>
      </c>
      <c r="C124" s="23"/>
      <c r="D124" s="23"/>
      <c r="E124" s="23"/>
      <c r="F124" s="23"/>
      <c r="G124" s="18">
        <f>MAX(Min_Draw,(G30-'CHP &amp; Energy'!$U14-'CHP &amp; Energy'!$T31))</f>
        <v>185</v>
      </c>
      <c r="H124" s="18">
        <f>MAX(Min_Draw,(H30-'CHP &amp; Energy'!$U14-'CHP &amp; Energy'!$T31))</f>
        <v>185</v>
      </c>
      <c r="I124" s="18">
        <f>MAX(Min_Draw,(I30-'CHP &amp; Energy'!$U14-'CHP &amp; Energy'!$T31))</f>
        <v>185</v>
      </c>
      <c r="J124" s="18">
        <f>MAX(Min_Draw,(J30-'CHP &amp; Energy'!$U14-'CHP &amp; Energy'!$T31))</f>
        <v>185</v>
      </c>
      <c r="K124" s="102"/>
      <c r="L124" s="23"/>
      <c r="M124" s="23"/>
      <c r="N124" s="100">
        <f>MAX(Min_Draw,(N30-'CHP &amp; Energy'!$U14-'CHP &amp; Energy'!$T31))</f>
        <v>185</v>
      </c>
      <c r="O124" s="100">
        <f>MAX(Min_Draw,(O30-'CHP &amp; Energy'!$U14-'CHP &amp; Energy'!$T31))</f>
        <v>185</v>
      </c>
      <c r="P124" s="100">
        <f>MAX(Min_Draw,(P30-'CHP &amp; Energy'!$U14-'CHP &amp; Energy'!$T31))</f>
        <v>185</v>
      </c>
      <c r="R124" s="370"/>
      <c r="S124" s="370"/>
      <c r="T124" s="100">
        <f>MAX((Min_Draw*'CHP &amp; Energy'!$R14),(T30-'CHP &amp; Energy'!$AB14-'CHP &amp; Energy'!$AA31))</f>
        <v>86165</v>
      </c>
      <c r="U124" s="100">
        <f>MAX((Min_Draw*'CHP &amp; Energy'!$R14),(U30-'CHP &amp; Energy'!$AB14-'CHP &amp; Energy'!$AA31))</f>
        <v>86165</v>
      </c>
      <c r="V124" s="369"/>
      <c r="W124" s="370"/>
      <c r="X124" s="370"/>
      <c r="Y124" s="100">
        <f>MAX((Min_Draw*'CHP &amp; Energy'!N14),(Y30-'CHP &amp; Energy'!X14-'CHP &amp; Energy'!$W31))</f>
        <v>0</v>
      </c>
      <c r="Z124" s="100">
        <f>MAX((Min_Draw*'CHP &amp; Energy'!$R14),(Z30-'CHP &amp; Energy'!AB14-'CHP &amp; Energy'!AA31))</f>
        <v>1165</v>
      </c>
      <c r="AB124" s="88">
        <f t="shared" si="90"/>
        <v>185</v>
      </c>
      <c r="AC124" s="88">
        <f t="shared" si="90"/>
        <v>185</v>
      </c>
      <c r="AD124" s="88">
        <f>P124</f>
        <v>185</v>
      </c>
      <c r="AE124" s="88">
        <f>Y124</f>
        <v>0</v>
      </c>
      <c r="AF124" s="156">
        <f>MAX((Min_Draw*'CHP &amp; Energy'!$Q14),AF78-'CHP &amp; Energy'!X31)</f>
        <v>67000</v>
      </c>
      <c r="AG124" s="156">
        <f>MAX((Min_Draw*'CHP &amp; Energy'!$R14),AG78-'CHP &amp; Energy'!AA31)</f>
        <v>86165</v>
      </c>
      <c r="AI124" s="41">
        <f>'CHP &amp; Energy'!Q31-'CHP &amp; Energy'!AA31</f>
        <v>86165</v>
      </c>
      <c r="AJ124" s="41">
        <f>'CHP &amp; Energy'!Q31-'CHP &amp; Energy'!AA31</f>
        <v>86165</v>
      </c>
    </row>
    <row r="125" spans="1:36" customFormat="1">
      <c r="A125" s="34"/>
      <c r="B125" s="118" t="s">
        <v>47</v>
      </c>
      <c r="C125" s="23"/>
      <c r="D125" s="23"/>
      <c r="E125" s="23"/>
      <c r="F125" s="23"/>
      <c r="G125" s="18">
        <f>MAX(Min_Draw,(G31-'CHP &amp; Energy'!$U15-'CHP &amp; Energy'!$T32))</f>
        <v>185</v>
      </c>
      <c r="H125" s="18">
        <f>MAX(Min_Draw,(H31-'CHP &amp; Energy'!$U15-'CHP &amp; Energy'!$T32))</f>
        <v>185</v>
      </c>
      <c r="I125" s="18">
        <f>MAX(Min_Draw,(I31-'CHP &amp; Energy'!$U15-'CHP &amp; Energy'!$T32))</f>
        <v>185</v>
      </c>
      <c r="J125" s="18">
        <f>MAX(Min_Draw,(J31-'CHP &amp; Energy'!$U15-'CHP &amp; Energy'!$T32))</f>
        <v>185</v>
      </c>
      <c r="K125" s="102"/>
      <c r="L125" s="23"/>
      <c r="M125" s="23"/>
      <c r="N125" s="100">
        <f>MAX(Min_Draw,(N31-'CHP &amp; Energy'!$U15-'CHP &amp; Energy'!$T32))</f>
        <v>185</v>
      </c>
      <c r="O125" s="100">
        <f>MAX(Min_Draw,(O31-'CHP &amp; Energy'!$U15-'CHP &amp; Energy'!$T32))</f>
        <v>185</v>
      </c>
      <c r="P125" s="100">
        <f>MAX(Min_Draw,(P31-'CHP &amp; Energy'!$U15-'CHP &amp; Energy'!$T32))</f>
        <v>185</v>
      </c>
      <c r="R125" s="370"/>
      <c r="S125" s="370"/>
      <c r="T125" s="100">
        <f>MAX((Min_Draw*'CHP &amp; Energy'!$R15),(T31-'CHP &amp; Energy'!$AB15-'CHP &amp; Energy'!$AA32))</f>
        <v>83030</v>
      </c>
      <c r="U125" s="100">
        <f>MAX((Min_Draw*'CHP &amp; Energy'!$R15),(U31-'CHP &amp; Energy'!$AB15-'CHP &amp; Energy'!$AA32))</f>
        <v>83030</v>
      </c>
      <c r="V125" s="369"/>
      <c r="W125" s="370"/>
      <c r="X125" s="370"/>
      <c r="Y125" s="100">
        <f>MAX((Min_Draw*'CHP &amp; Energy'!N15),(Y31-'CHP &amp; Energy'!X15-'CHP &amp; Energy'!$W32))</f>
        <v>0</v>
      </c>
      <c r="Z125" s="100">
        <f>MAX((Min_Draw*'CHP &amp; Energy'!$R15),(Z31-'CHP &amp; Energy'!AB15-'CHP &amp; Energy'!AA32))</f>
        <v>242</v>
      </c>
      <c r="AB125" s="88">
        <f t="shared" si="90"/>
        <v>185</v>
      </c>
      <c r="AC125" s="88">
        <f t="shared" si="90"/>
        <v>185</v>
      </c>
      <c r="AD125" s="88">
        <f>P125</f>
        <v>185</v>
      </c>
      <c r="AE125" s="88">
        <f>Y125</f>
        <v>0</v>
      </c>
      <c r="AF125" s="156">
        <f>MAX((Min_Draw*'CHP &amp; Energy'!$Q15),AF79-'CHP &amp; Energy'!X32)</f>
        <v>67000</v>
      </c>
      <c r="AG125" s="156">
        <f>MAX((Min_Draw*'CHP &amp; Energy'!$R15),AG79-'CHP &amp; Energy'!AA32)</f>
        <v>83030</v>
      </c>
      <c r="AI125" s="41">
        <f>'CHP &amp; Energy'!Q32-'CHP &amp; Energy'!AA32</f>
        <v>83030</v>
      </c>
      <c r="AJ125" s="41">
        <f>'CHP &amp; Energy'!Q32-'CHP &amp; Energy'!AA32</f>
        <v>83030</v>
      </c>
    </row>
    <row r="127" spans="1:36" ht="13">
      <c r="B127" s="35" t="s">
        <v>240</v>
      </c>
      <c r="R127" s="101" t="s">
        <v>255</v>
      </c>
      <c r="AB127" s="101" t="s">
        <v>263</v>
      </c>
    </row>
    <row r="128" spans="1:36">
      <c r="B128" s="117" t="s">
        <v>37</v>
      </c>
      <c r="C128" s="89">
        <f>IF(C$36&gt;C114,C114,C$36)</f>
        <v>0</v>
      </c>
      <c r="D128" s="89">
        <f t="shared" ref="D128:J137" si="91">IF(D114&gt;SUM(C$36:D$36),IF(D$36="up",D114-SUM(C$36:C$36),D$36),IF(D114&lt;=C$36,0,(D114-(SUM(C$36:C$36)))))</f>
        <v>0</v>
      </c>
      <c r="E128" s="89">
        <f t="shared" si="91"/>
        <v>0</v>
      </c>
      <c r="F128" s="89">
        <f t="shared" si="91"/>
        <v>0</v>
      </c>
      <c r="G128" s="88">
        <f t="shared" si="91"/>
        <v>0</v>
      </c>
      <c r="H128" s="88">
        <f t="shared" si="91"/>
        <v>0</v>
      </c>
      <c r="I128" s="88">
        <f t="shared" si="91"/>
        <v>0</v>
      </c>
      <c r="J128" s="88">
        <f t="shared" si="91"/>
        <v>0</v>
      </c>
      <c r="K128" s="99">
        <f t="shared" ref="K128:P137" si="92">K114</f>
        <v>0</v>
      </c>
      <c r="L128" s="41">
        <f t="shared" si="92"/>
        <v>0</v>
      </c>
      <c r="M128" s="41">
        <f t="shared" si="92"/>
        <v>0</v>
      </c>
      <c r="N128" s="41">
        <f t="shared" si="92"/>
        <v>185</v>
      </c>
      <c r="O128" s="41">
        <f t="shared" si="92"/>
        <v>185</v>
      </c>
      <c r="P128" s="41">
        <f t="shared" si="92"/>
        <v>185</v>
      </c>
      <c r="R128" s="89">
        <f>IF(R$36&gt;R114,R114,R$36)</f>
        <v>0</v>
      </c>
      <c r="S128" s="89">
        <f>IF(S114&gt;SUM(R$36:S$36),IF(S$36="up",S114-SUM(R$36:R$36),S$36),IF(S114&lt;=R$36,0,(S114-(SUM(R$36:R$36)))))</f>
        <v>0</v>
      </c>
      <c r="T128" s="88">
        <f>IF(T$36&gt;T114,T114,T$36)</f>
        <v>0</v>
      </c>
      <c r="U128" s="88">
        <f>IF(U114&gt;SUM(T$36:U$36),IF(U$36="up",U114-SUM(T$36:T$36),U$36),IF(U114&lt;=T$36,0,(U114-(SUM(T$36:T$36)))))</f>
        <v>0</v>
      </c>
      <c r="V128" s="103">
        <f t="shared" ref="V128:Z137" si="93">V114</f>
        <v>0</v>
      </c>
      <c r="W128" s="123">
        <f t="shared" si="93"/>
        <v>0</v>
      </c>
      <c r="X128" s="123">
        <f t="shared" si="93"/>
        <v>0</v>
      </c>
      <c r="Y128" s="88">
        <f t="shared" si="93"/>
        <v>0</v>
      </c>
      <c r="Z128" s="88">
        <f t="shared" si="93"/>
        <v>242</v>
      </c>
      <c r="AB128" s="149"/>
      <c r="AC128" s="150"/>
      <c r="AD128" s="150"/>
      <c r="AE128" s="150"/>
      <c r="AF128" s="150"/>
      <c r="AG128" s="151"/>
      <c r="AI128" s="149"/>
      <c r="AJ128" s="151"/>
    </row>
    <row r="129" spans="2:36">
      <c r="B129" s="118" t="s">
        <v>38</v>
      </c>
      <c r="C129" s="89">
        <f t="shared" ref="C129:C139" si="94">IF(C$36&gt;C115,C115,C$36)</f>
        <v>0</v>
      </c>
      <c r="D129" s="89">
        <f t="shared" si="91"/>
        <v>0</v>
      </c>
      <c r="E129" s="89">
        <f t="shared" si="91"/>
        <v>0</v>
      </c>
      <c r="F129" s="89">
        <f t="shared" si="91"/>
        <v>0</v>
      </c>
      <c r="G129" s="88">
        <f t="shared" si="91"/>
        <v>0</v>
      </c>
      <c r="H129" s="88">
        <f t="shared" si="91"/>
        <v>0</v>
      </c>
      <c r="I129" s="88">
        <f t="shared" si="91"/>
        <v>0</v>
      </c>
      <c r="J129" s="88">
        <f t="shared" si="91"/>
        <v>0</v>
      </c>
      <c r="K129" s="99">
        <f t="shared" si="92"/>
        <v>0</v>
      </c>
      <c r="L129" s="41">
        <f t="shared" si="92"/>
        <v>0</v>
      </c>
      <c r="M129" s="41">
        <f t="shared" si="92"/>
        <v>0</v>
      </c>
      <c r="N129" s="41">
        <f t="shared" si="92"/>
        <v>185</v>
      </c>
      <c r="O129" s="41">
        <f t="shared" si="92"/>
        <v>185</v>
      </c>
      <c r="P129" s="41">
        <f t="shared" si="92"/>
        <v>185</v>
      </c>
      <c r="R129" s="89">
        <f t="shared" ref="R129:R139" si="95">IF(R$36&gt;R115,R115,R$36)</f>
        <v>0</v>
      </c>
      <c r="S129" s="89">
        <f t="shared" ref="S129:S139" si="96">IF(S115&gt;SUM(R$36:S$36),IF(S$36="up",S115-SUM(R$36:R$36),S$36),IF(S115&lt;=R$36,0,(S115-(SUM(R$36:R$36)))))</f>
        <v>0</v>
      </c>
      <c r="T129" s="88">
        <f t="shared" ref="T129:T139" si="97">IF(T$36&gt;T115,T115,T$36)</f>
        <v>0</v>
      </c>
      <c r="U129" s="88">
        <f t="shared" ref="U129:U139" si="98">IF(U115&gt;SUM(T$36:U$36),IF(U$36="up",U115-SUM(T$36:T$36),U$36),IF(U115&lt;=T$36,0,(U115-(SUM(T$36:T$36)))))</f>
        <v>0</v>
      </c>
      <c r="V129" s="103">
        <f t="shared" si="93"/>
        <v>0</v>
      </c>
      <c r="W129" s="123">
        <f t="shared" si="93"/>
        <v>0</v>
      </c>
      <c r="X129" s="123">
        <f t="shared" si="93"/>
        <v>0</v>
      </c>
      <c r="Y129" s="88">
        <f t="shared" si="93"/>
        <v>0</v>
      </c>
      <c r="Z129" s="88">
        <f t="shared" si="93"/>
        <v>4300</v>
      </c>
      <c r="AB129" s="58"/>
      <c r="AC129" s="59"/>
      <c r="AD129" s="59"/>
      <c r="AE129" s="59"/>
      <c r="AF129" s="59"/>
      <c r="AG129" s="152"/>
      <c r="AI129" s="58"/>
      <c r="AJ129" s="152"/>
    </row>
    <row r="130" spans="2:36">
      <c r="B130" s="117" t="s">
        <v>39</v>
      </c>
      <c r="C130" s="89">
        <f t="shared" si="94"/>
        <v>0</v>
      </c>
      <c r="D130" s="89">
        <f t="shared" si="91"/>
        <v>0</v>
      </c>
      <c r="E130" s="89">
        <f t="shared" si="91"/>
        <v>0</v>
      </c>
      <c r="F130" s="89">
        <f t="shared" si="91"/>
        <v>0</v>
      </c>
      <c r="G130" s="88">
        <f t="shared" si="91"/>
        <v>0</v>
      </c>
      <c r="H130" s="88">
        <f t="shared" si="91"/>
        <v>0</v>
      </c>
      <c r="I130" s="88">
        <f t="shared" si="91"/>
        <v>0</v>
      </c>
      <c r="J130" s="88">
        <f t="shared" si="91"/>
        <v>0</v>
      </c>
      <c r="K130" s="99">
        <f t="shared" si="92"/>
        <v>0</v>
      </c>
      <c r="L130" s="41">
        <f t="shared" si="92"/>
        <v>0</v>
      </c>
      <c r="M130" s="41">
        <f t="shared" si="92"/>
        <v>0</v>
      </c>
      <c r="N130" s="41">
        <f t="shared" si="92"/>
        <v>185</v>
      </c>
      <c r="O130" s="41">
        <f t="shared" si="92"/>
        <v>185</v>
      </c>
      <c r="P130" s="41">
        <f t="shared" si="92"/>
        <v>185</v>
      </c>
      <c r="R130" s="89">
        <f t="shared" si="95"/>
        <v>0</v>
      </c>
      <c r="S130" s="89">
        <f t="shared" si="96"/>
        <v>0</v>
      </c>
      <c r="T130" s="88">
        <f t="shared" si="97"/>
        <v>0</v>
      </c>
      <c r="U130" s="88">
        <f t="shared" si="98"/>
        <v>0</v>
      </c>
      <c r="V130" s="103">
        <f t="shared" si="93"/>
        <v>0</v>
      </c>
      <c r="W130" s="123">
        <f t="shared" si="93"/>
        <v>0</v>
      </c>
      <c r="X130" s="123">
        <f t="shared" si="93"/>
        <v>0</v>
      </c>
      <c r="Y130" s="88">
        <f t="shared" si="93"/>
        <v>0</v>
      </c>
      <c r="Z130" s="88">
        <f t="shared" si="93"/>
        <v>242</v>
      </c>
      <c r="AB130" s="58"/>
      <c r="AC130" s="59"/>
      <c r="AD130" s="59"/>
      <c r="AE130" s="59"/>
      <c r="AF130" s="59"/>
      <c r="AG130" s="152"/>
      <c r="AI130" s="58"/>
      <c r="AJ130" s="152"/>
    </row>
    <row r="131" spans="2:36">
      <c r="B131" s="118" t="s">
        <v>40</v>
      </c>
      <c r="C131" s="89">
        <f t="shared" si="94"/>
        <v>0</v>
      </c>
      <c r="D131" s="89">
        <f t="shared" si="91"/>
        <v>0</v>
      </c>
      <c r="E131" s="89">
        <f t="shared" si="91"/>
        <v>0</v>
      </c>
      <c r="F131" s="89">
        <f t="shared" si="91"/>
        <v>0</v>
      </c>
      <c r="G131" s="88">
        <f t="shared" si="91"/>
        <v>0</v>
      </c>
      <c r="H131" s="88">
        <f t="shared" si="91"/>
        <v>0</v>
      </c>
      <c r="I131" s="88">
        <f t="shared" si="91"/>
        <v>0</v>
      </c>
      <c r="J131" s="88">
        <f t="shared" si="91"/>
        <v>0</v>
      </c>
      <c r="K131" s="99">
        <f t="shared" si="92"/>
        <v>0</v>
      </c>
      <c r="L131" s="41">
        <f t="shared" si="92"/>
        <v>0</v>
      </c>
      <c r="M131" s="41">
        <f t="shared" si="92"/>
        <v>0</v>
      </c>
      <c r="N131" s="41">
        <f t="shared" si="92"/>
        <v>175</v>
      </c>
      <c r="O131" s="41">
        <f t="shared" si="92"/>
        <v>175</v>
      </c>
      <c r="P131" s="41">
        <f t="shared" si="92"/>
        <v>175</v>
      </c>
      <c r="R131" s="89">
        <f t="shared" si="95"/>
        <v>0</v>
      </c>
      <c r="S131" s="89">
        <f t="shared" si="96"/>
        <v>0</v>
      </c>
      <c r="T131" s="88">
        <f t="shared" si="97"/>
        <v>0</v>
      </c>
      <c r="U131" s="88">
        <f t="shared" si="98"/>
        <v>0</v>
      </c>
      <c r="V131" s="103">
        <f t="shared" si="93"/>
        <v>0</v>
      </c>
      <c r="W131" s="123">
        <f t="shared" si="93"/>
        <v>0</v>
      </c>
      <c r="X131" s="123">
        <f t="shared" si="93"/>
        <v>0</v>
      </c>
      <c r="Y131" s="88">
        <f t="shared" si="93"/>
        <v>0</v>
      </c>
      <c r="Z131" s="88">
        <f t="shared" si="93"/>
        <v>231</v>
      </c>
      <c r="AB131" s="58"/>
      <c r="AC131" s="59"/>
      <c r="AD131" s="59"/>
      <c r="AE131" s="59"/>
      <c r="AF131" s="59"/>
      <c r="AG131" s="152"/>
      <c r="AI131" s="58"/>
      <c r="AJ131" s="152"/>
    </row>
    <row r="132" spans="2:36">
      <c r="B132" s="117" t="s">
        <v>7</v>
      </c>
      <c r="C132" s="89">
        <f t="shared" si="94"/>
        <v>0</v>
      </c>
      <c r="D132" s="89">
        <f t="shared" si="91"/>
        <v>0</v>
      </c>
      <c r="E132" s="89">
        <f t="shared" si="91"/>
        <v>0</v>
      </c>
      <c r="F132" s="89">
        <f t="shared" si="91"/>
        <v>0</v>
      </c>
      <c r="G132" s="88">
        <f t="shared" si="91"/>
        <v>0</v>
      </c>
      <c r="H132" s="88">
        <f t="shared" si="91"/>
        <v>0</v>
      </c>
      <c r="I132" s="88">
        <f t="shared" si="91"/>
        <v>0</v>
      </c>
      <c r="J132" s="88">
        <f t="shared" si="91"/>
        <v>0</v>
      </c>
      <c r="K132" s="99">
        <f t="shared" si="92"/>
        <v>0</v>
      </c>
      <c r="L132" s="41">
        <f t="shared" si="92"/>
        <v>0</v>
      </c>
      <c r="M132" s="41">
        <f t="shared" si="92"/>
        <v>0</v>
      </c>
      <c r="N132" s="41">
        <f t="shared" si="92"/>
        <v>185</v>
      </c>
      <c r="O132" s="41">
        <f t="shared" si="92"/>
        <v>185</v>
      </c>
      <c r="P132" s="41">
        <f t="shared" si="92"/>
        <v>185</v>
      </c>
      <c r="R132" s="89">
        <f t="shared" si="95"/>
        <v>0</v>
      </c>
      <c r="S132" s="89">
        <f t="shared" si="96"/>
        <v>0</v>
      </c>
      <c r="T132" s="88">
        <f t="shared" si="97"/>
        <v>0</v>
      </c>
      <c r="U132" s="88">
        <f t="shared" si="98"/>
        <v>0</v>
      </c>
      <c r="V132" s="103">
        <f t="shared" si="93"/>
        <v>0</v>
      </c>
      <c r="W132" s="123">
        <f t="shared" si="93"/>
        <v>0</v>
      </c>
      <c r="X132" s="123">
        <f t="shared" si="93"/>
        <v>0</v>
      </c>
      <c r="Y132" s="88">
        <f t="shared" si="93"/>
        <v>0</v>
      </c>
      <c r="Z132" s="88">
        <f t="shared" si="93"/>
        <v>242</v>
      </c>
      <c r="AB132" s="58"/>
      <c r="AC132" s="59"/>
      <c r="AD132" s="59"/>
      <c r="AE132" s="59"/>
      <c r="AF132" s="59"/>
      <c r="AG132" s="152"/>
      <c r="AI132" s="58"/>
      <c r="AJ132" s="152"/>
    </row>
    <row r="133" spans="2:36">
      <c r="B133" s="118" t="s">
        <v>41</v>
      </c>
      <c r="C133" s="89">
        <f t="shared" si="94"/>
        <v>0</v>
      </c>
      <c r="D133" s="89">
        <f t="shared" si="91"/>
        <v>0</v>
      </c>
      <c r="E133" s="89">
        <f t="shared" si="91"/>
        <v>0</v>
      </c>
      <c r="F133" s="89">
        <f t="shared" si="91"/>
        <v>0</v>
      </c>
      <c r="G133" s="88">
        <f t="shared" si="91"/>
        <v>0</v>
      </c>
      <c r="H133" s="88">
        <f t="shared" si="91"/>
        <v>0</v>
      </c>
      <c r="I133" s="88">
        <f t="shared" si="91"/>
        <v>0</v>
      </c>
      <c r="J133" s="88">
        <f t="shared" si="91"/>
        <v>0</v>
      </c>
      <c r="K133" s="99">
        <f t="shared" si="92"/>
        <v>186</v>
      </c>
      <c r="L133" s="41">
        <f t="shared" si="92"/>
        <v>186</v>
      </c>
      <c r="M133" s="41">
        <f t="shared" si="92"/>
        <v>186</v>
      </c>
      <c r="N133" s="41">
        <f t="shared" si="92"/>
        <v>0</v>
      </c>
      <c r="O133" s="41">
        <f t="shared" si="92"/>
        <v>0</v>
      </c>
      <c r="P133" s="41">
        <f t="shared" si="92"/>
        <v>0</v>
      </c>
      <c r="R133" s="89">
        <f t="shared" si="95"/>
        <v>0</v>
      </c>
      <c r="S133" s="89">
        <f t="shared" si="96"/>
        <v>0</v>
      </c>
      <c r="T133" s="88">
        <f t="shared" si="97"/>
        <v>0</v>
      </c>
      <c r="U133" s="88">
        <f t="shared" si="98"/>
        <v>0</v>
      </c>
      <c r="V133" s="103">
        <f t="shared" si="93"/>
        <v>35235</v>
      </c>
      <c r="W133" s="123">
        <f t="shared" si="93"/>
        <v>0</v>
      </c>
      <c r="X133" s="123">
        <f t="shared" si="93"/>
        <v>231</v>
      </c>
      <c r="Y133" s="88">
        <f t="shared" si="93"/>
        <v>0</v>
      </c>
      <c r="Z133" s="88">
        <f t="shared" si="93"/>
        <v>0</v>
      </c>
      <c r="AB133" s="58"/>
      <c r="AC133" s="59"/>
      <c r="AD133" s="59"/>
      <c r="AE133" s="59"/>
      <c r="AF133" s="59"/>
      <c r="AG133" s="152"/>
      <c r="AI133" s="58"/>
      <c r="AJ133" s="152"/>
    </row>
    <row r="134" spans="2:36">
      <c r="B134" s="117" t="s">
        <v>42</v>
      </c>
      <c r="C134" s="89">
        <f t="shared" si="94"/>
        <v>0</v>
      </c>
      <c r="D134" s="89">
        <f t="shared" si="91"/>
        <v>0</v>
      </c>
      <c r="E134" s="89">
        <f t="shared" si="91"/>
        <v>0</v>
      </c>
      <c r="F134" s="89">
        <f t="shared" si="91"/>
        <v>0</v>
      </c>
      <c r="G134" s="88">
        <f t="shared" si="91"/>
        <v>0</v>
      </c>
      <c r="H134" s="88">
        <f t="shared" si="91"/>
        <v>0</v>
      </c>
      <c r="I134" s="88">
        <f t="shared" si="91"/>
        <v>0</v>
      </c>
      <c r="J134" s="88">
        <f t="shared" si="91"/>
        <v>0</v>
      </c>
      <c r="K134" s="99">
        <f t="shared" si="92"/>
        <v>686</v>
      </c>
      <c r="L134" s="41">
        <f t="shared" si="92"/>
        <v>686</v>
      </c>
      <c r="M134" s="41">
        <f t="shared" si="92"/>
        <v>686</v>
      </c>
      <c r="N134" s="41">
        <f t="shared" si="92"/>
        <v>0</v>
      </c>
      <c r="O134" s="41">
        <f t="shared" si="92"/>
        <v>0</v>
      </c>
      <c r="P134" s="41">
        <f t="shared" si="92"/>
        <v>0</v>
      </c>
      <c r="R134" s="89">
        <f t="shared" si="95"/>
        <v>0</v>
      </c>
      <c r="S134" s="89">
        <f t="shared" si="96"/>
        <v>0</v>
      </c>
      <c r="T134" s="88">
        <f t="shared" si="97"/>
        <v>0</v>
      </c>
      <c r="U134" s="88">
        <f t="shared" si="98"/>
        <v>0</v>
      </c>
      <c r="V134" s="103">
        <f t="shared" si="93"/>
        <v>31770</v>
      </c>
      <c r="W134" s="123">
        <f t="shared" si="93"/>
        <v>0</v>
      </c>
      <c r="X134" s="123">
        <f t="shared" si="93"/>
        <v>242</v>
      </c>
      <c r="Y134" s="88">
        <f t="shared" si="93"/>
        <v>0</v>
      </c>
      <c r="Z134" s="88">
        <f t="shared" si="93"/>
        <v>0</v>
      </c>
      <c r="AB134" s="58"/>
      <c r="AC134" s="59"/>
      <c r="AD134" s="59"/>
      <c r="AE134" s="59"/>
      <c r="AF134" s="59"/>
      <c r="AG134" s="152"/>
      <c r="AI134" s="58"/>
      <c r="AJ134" s="152"/>
    </row>
    <row r="135" spans="2:36">
      <c r="B135" s="118" t="s">
        <v>43</v>
      </c>
      <c r="C135" s="89">
        <f t="shared" si="94"/>
        <v>0</v>
      </c>
      <c r="D135" s="89">
        <f t="shared" si="91"/>
        <v>0</v>
      </c>
      <c r="E135" s="89">
        <f t="shared" si="91"/>
        <v>0</v>
      </c>
      <c r="F135" s="89">
        <f t="shared" si="91"/>
        <v>0</v>
      </c>
      <c r="G135" s="88">
        <f t="shared" si="91"/>
        <v>0</v>
      </c>
      <c r="H135" s="88">
        <f t="shared" si="91"/>
        <v>0</v>
      </c>
      <c r="I135" s="88">
        <f t="shared" si="91"/>
        <v>0</v>
      </c>
      <c r="J135" s="88">
        <f t="shared" si="91"/>
        <v>0</v>
      </c>
      <c r="K135" s="99">
        <f t="shared" si="92"/>
        <v>185</v>
      </c>
      <c r="L135" s="41">
        <f t="shared" si="92"/>
        <v>185</v>
      </c>
      <c r="M135" s="41">
        <f t="shared" si="92"/>
        <v>185</v>
      </c>
      <c r="N135" s="41">
        <f t="shared" si="92"/>
        <v>0</v>
      </c>
      <c r="O135" s="41">
        <f t="shared" si="92"/>
        <v>0</v>
      </c>
      <c r="P135" s="41">
        <f t="shared" si="92"/>
        <v>0</v>
      </c>
      <c r="R135" s="89">
        <f t="shared" si="95"/>
        <v>0</v>
      </c>
      <c r="S135" s="89">
        <f t="shared" si="96"/>
        <v>0</v>
      </c>
      <c r="T135" s="88">
        <f t="shared" si="97"/>
        <v>0</v>
      </c>
      <c r="U135" s="88">
        <f t="shared" si="98"/>
        <v>0</v>
      </c>
      <c r="V135" s="103">
        <f t="shared" si="93"/>
        <v>31770</v>
      </c>
      <c r="W135" s="123">
        <f t="shared" si="93"/>
        <v>0</v>
      </c>
      <c r="X135" s="123">
        <f t="shared" si="93"/>
        <v>242</v>
      </c>
      <c r="Y135" s="88">
        <f t="shared" si="93"/>
        <v>0</v>
      </c>
      <c r="Z135" s="88">
        <f t="shared" si="93"/>
        <v>0</v>
      </c>
      <c r="AB135" s="58"/>
      <c r="AC135" s="59"/>
      <c r="AD135" s="59"/>
      <c r="AE135" s="59"/>
      <c r="AF135" s="59"/>
      <c r="AG135" s="152"/>
      <c r="AI135" s="58"/>
      <c r="AJ135" s="152"/>
    </row>
    <row r="136" spans="2:36">
      <c r="B136" s="117" t="s">
        <v>44</v>
      </c>
      <c r="C136" s="89">
        <f t="shared" si="94"/>
        <v>0</v>
      </c>
      <c r="D136" s="89">
        <f t="shared" si="91"/>
        <v>0</v>
      </c>
      <c r="E136" s="89">
        <f t="shared" si="91"/>
        <v>0</v>
      </c>
      <c r="F136" s="89">
        <f t="shared" si="91"/>
        <v>0</v>
      </c>
      <c r="G136" s="88">
        <f t="shared" si="91"/>
        <v>0</v>
      </c>
      <c r="H136" s="88">
        <f t="shared" si="91"/>
        <v>0</v>
      </c>
      <c r="I136" s="88">
        <f t="shared" si="91"/>
        <v>0</v>
      </c>
      <c r="J136" s="88">
        <f t="shared" si="91"/>
        <v>0</v>
      </c>
      <c r="K136" s="99">
        <f t="shared" si="92"/>
        <v>185</v>
      </c>
      <c r="L136" s="41">
        <f t="shared" si="92"/>
        <v>185</v>
      </c>
      <c r="M136" s="41">
        <f t="shared" si="92"/>
        <v>185</v>
      </c>
      <c r="N136" s="41">
        <f t="shared" si="92"/>
        <v>0</v>
      </c>
      <c r="O136" s="41">
        <f t="shared" si="92"/>
        <v>0</v>
      </c>
      <c r="P136" s="41">
        <f t="shared" si="92"/>
        <v>0</v>
      </c>
      <c r="R136" s="89">
        <f t="shared" si="95"/>
        <v>0</v>
      </c>
      <c r="S136" s="89">
        <f t="shared" si="96"/>
        <v>0</v>
      </c>
      <c r="T136" s="88">
        <f t="shared" si="97"/>
        <v>0</v>
      </c>
      <c r="U136" s="88">
        <f t="shared" si="98"/>
        <v>0</v>
      </c>
      <c r="V136" s="103">
        <f t="shared" si="93"/>
        <v>35235</v>
      </c>
      <c r="W136" s="123">
        <f t="shared" si="93"/>
        <v>0</v>
      </c>
      <c r="X136" s="123">
        <f t="shared" si="93"/>
        <v>231</v>
      </c>
      <c r="Y136" s="88">
        <f t="shared" si="93"/>
        <v>0</v>
      </c>
      <c r="Z136" s="88">
        <f t="shared" si="93"/>
        <v>0</v>
      </c>
      <c r="AB136" s="58"/>
      <c r="AC136" s="59"/>
      <c r="AD136" s="59"/>
      <c r="AE136" s="59"/>
      <c r="AF136" s="59"/>
      <c r="AG136" s="152"/>
      <c r="AI136" s="58"/>
      <c r="AJ136" s="152"/>
    </row>
    <row r="137" spans="2:36">
      <c r="B137" s="118" t="s">
        <v>45</v>
      </c>
      <c r="C137" s="89">
        <f t="shared" si="94"/>
        <v>0</v>
      </c>
      <c r="D137" s="89">
        <f t="shared" si="91"/>
        <v>0</v>
      </c>
      <c r="E137" s="89">
        <f t="shared" si="91"/>
        <v>0</v>
      </c>
      <c r="F137" s="89">
        <f t="shared" si="91"/>
        <v>0</v>
      </c>
      <c r="G137" s="88">
        <f t="shared" si="91"/>
        <v>0</v>
      </c>
      <c r="H137" s="88">
        <f t="shared" si="91"/>
        <v>0</v>
      </c>
      <c r="I137" s="88">
        <f t="shared" si="91"/>
        <v>0</v>
      </c>
      <c r="J137" s="88">
        <f t="shared" si="91"/>
        <v>0</v>
      </c>
      <c r="K137" s="99">
        <f t="shared" si="92"/>
        <v>0</v>
      </c>
      <c r="L137" s="41">
        <f t="shared" si="92"/>
        <v>0</v>
      </c>
      <c r="M137" s="41">
        <f t="shared" si="92"/>
        <v>0</v>
      </c>
      <c r="N137" s="41">
        <f t="shared" si="92"/>
        <v>175</v>
      </c>
      <c r="O137" s="41">
        <f t="shared" si="92"/>
        <v>175</v>
      </c>
      <c r="P137" s="41">
        <f t="shared" si="92"/>
        <v>175</v>
      </c>
      <c r="R137" s="89">
        <f t="shared" si="95"/>
        <v>0</v>
      </c>
      <c r="S137" s="89">
        <f t="shared" si="96"/>
        <v>0</v>
      </c>
      <c r="T137" s="88">
        <f t="shared" si="97"/>
        <v>0</v>
      </c>
      <c r="U137" s="88">
        <f t="shared" si="98"/>
        <v>0</v>
      </c>
      <c r="V137" s="103">
        <f t="shared" si="93"/>
        <v>0</v>
      </c>
      <c r="W137" s="123">
        <f t="shared" si="93"/>
        <v>0</v>
      </c>
      <c r="X137" s="123">
        <f t="shared" si="93"/>
        <v>0</v>
      </c>
      <c r="Y137" s="88">
        <f t="shared" si="93"/>
        <v>0</v>
      </c>
      <c r="Z137" s="88">
        <f t="shared" si="93"/>
        <v>242</v>
      </c>
      <c r="AB137" s="58"/>
      <c r="AC137" s="59"/>
      <c r="AD137" s="59"/>
      <c r="AE137" s="59"/>
      <c r="AF137" s="59"/>
      <c r="AG137" s="152"/>
      <c r="AI137" s="58"/>
      <c r="AJ137" s="152"/>
    </row>
    <row r="138" spans="2:36">
      <c r="B138" s="117" t="s">
        <v>46</v>
      </c>
      <c r="C138" s="89">
        <f t="shared" si="94"/>
        <v>0</v>
      </c>
      <c r="D138" s="89">
        <f t="shared" ref="D138:G139" si="99">IF(D124&gt;SUM(C$36:D$36),IF(D$36="up",D124-SUM(C$36:C$36),D$36),IF(D124&lt;=C$36,0,(D124-(SUM(C$36:C$36)))))</f>
        <v>0</v>
      </c>
      <c r="E138" s="89">
        <f t="shared" si="99"/>
        <v>0</v>
      </c>
      <c r="F138" s="89">
        <f t="shared" si="99"/>
        <v>0</v>
      </c>
      <c r="G138" s="88">
        <f t="shared" si="99"/>
        <v>0</v>
      </c>
      <c r="H138" s="88">
        <f t="shared" ref="H138:J139" si="100">IF(H124&gt;SUM(G$36:H$36),IF(H$36="up",H124-SUM(G$36:G$36),H$36),IF(H124&lt;=G$36,0,(H124-(SUM(G$36:G$36)))))</f>
        <v>0</v>
      </c>
      <c r="I138" s="88">
        <f t="shared" si="100"/>
        <v>0</v>
      </c>
      <c r="J138" s="88">
        <f t="shared" si="100"/>
        <v>0</v>
      </c>
      <c r="K138" s="99">
        <f t="shared" ref="K138:P138" si="101">K124</f>
        <v>0</v>
      </c>
      <c r="L138" s="41">
        <f t="shared" si="101"/>
        <v>0</v>
      </c>
      <c r="M138" s="41">
        <f t="shared" si="101"/>
        <v>0</v>
      </c>
      <c r="N138" s="41">
        <f t="shared" si="101"/>
        <v>185</v>
      </c>
      <c r="O138" s="41">
        <f t="shared" si="101"/>
        <v>185</v>
      </c>
      <c r="P138" s="41">
        <f t="shared" si="101"/>
        <v>185</v>
      </c>
      <c r="R138" s="89">
        <f t="shared" si="95"/>
        <v>0</v>
      </c>
      <c r="S138" s="89">
        <f t="shared" si="96"/>
        <v>0</v>
      </c>
      <c r="T138" s="88">
        <f t="shared" si="97"/>
        <v>0</v>
      </c>
      <c r="U138" s="88">
        <f t="shared" si="98"/>
        <v>0</v>
      </c>
      <c r="V138" s="103">
        <f t="shared" ref="V138:Z139" si="102">V124</f>
        <v>0</v>
      </c>
      <c r="W138" s="123">
        <f t="shared" si="102"/>
        <v>0</v>
      </c>
      <c r="X138" s="123">
        <f t="shared" si="102"/>
        <v>0</v>
      </c>
      <c r="Y138" s="88">
        <f t="shared" si="102"/>
        <v>0</v>
      </c>
      <c r="Z138" s="88">
        <f t="shared" si="102"/>
        <v>1165</v>
      </c>
      <c r="AB138" s="58"/>
      <c r="AC138" s="59"/>
      <c r="AD138" s="59"/>
      <c r="AE138" s="59"/>
      <c r="AF138" s="59"/>
      <c r="AG138" s="152"/>
      <c r="AI138" s="58"/>
      <c r="AJ138" s="152"/>
    </row>
    <row r="139" spans="2:36">
      <c r="B139" s="118" t="s">
        <v>47</v>
      </c>
      <c r="C139" s="89">
        <f t="shared" si="94"/>
        <v>0</v>
      </c>
      <c r="D139" s="89">
        <f t="shared" si="99"/>
        <v>0</v>
      </c>
      <c r="E139" s="89">
        <f t="shared" si="99"/>
        <v>0</v>
      </c>
      <c r="F139" s="89">
        <f t="shared" si="99"/>
        <v>0</v>
      </c>
      <c r="G139" s="88">
        <f t="shared" si="99"/>
        <v>0</v>
      </c>
      <c r="H139" s="88">
        <f t="shared" si="100"/>
        <v>0</v>
      </c>
      <c r="I139" s="88">
        <f t="shared" si="100"/>
        <v>0</v>
      </c>
      <c r="J139" s="88">
        <f t="shared" si="100"/>
        <v>0</v>
      </c>
      <c r="K139" s="99">
        <f t="shared" ref="K139:P139" si="103">K125</f>
        <v>0</v>
      </c>
      <c r="L139" s="41">
        <f t="shared" si="103"/>
        <v>0</v>
      </c>
      <c r="M139" s="41">
        <f t="shared" si="103"/>
        <v>0</v>
      </c>
      <c r="N139" s="41">
        <f t="shared" si="103"/>
        <v>185</v>
      </c>
      <c r="O139" s="41">
        <f t="shared" si="103"/>
        <v>185</v>
      </c>
      <c r="P139" s="41">
        <f t="shared" si="103"/>
        <v>185</v>
      </c>
      <c r="R139" s="89">
        <f t="shared" si="95"/>
        <v>0</v>
      </c>
      <c r="S139" s="89">
        <f t="shared" si="96"/>
        <v>0</v>
      </c>
      <c r="T139" s="88">
        <f t="shared" si="97"/>
        <v>0</v>
      </c>
      <c r="U139" s="88">
        <f t="shared" si="98"/>
        <v>0</v>
      </c>
      <c r="V139" s="103">
        <f t="shared" si="102"/>
        <v>0</v>
      </c>
      <c r="W139" s="123">
        <f t="shared" si="102"/>
        <v>0</v>
      </c>
      <c r="X139" s="123">
        <f t="shared" si="102"/>
        <v>0</v>
      </c>
      <c r="Y139" s="88">
        <f t="shared" si="102"/>
        <v>0</v>
      </c>
      <c r="Z139" s="88">
        <f t="shared" si="102"/>
        <v>242</v>
      </c>
      <c r="AB139" s="153"/>
      <c r="AC139" s="154"/>
      <c r="AD139" s="154"/>
      <c r="AE139" s="154"/>
      <c r="AF139" s="154"/>
      <c r="AG139" s="155"/>
      <c r="AI139" s="153"/>
      <c r="AJ139" s="155"/>
    </row>
    <row r="141" spans="2:36" ht="13">
      <c r="B141" s="35" t="s">
        <v>241</v>
      </c>
      <c r="R141" s="101" t="s">
        <v>256</v>
      </c>
      <c r="AB141" s="101" t="s">
        <v>264</v>
      </c>
      <c r="AI141" s="122" t="s">
        <v>273</v>
      </c>
    </row>
    <row r="142" spans="2:36">
      <c r="B142" s="117" t="s">
        <v>37</v>
      </c>
      <c r="C142" s="41">
        <f t="shared" ref="C142:C151" si="104">C6*C128</f>
        <v>0</v>
      </c>
      <c r="D142" s="41">
        <f t="shared" ref="D142:Z142" si="105">D6*D128</f>
        <v>0</v>
      </c>
      <c r="E142" s="41">
        <f t="shared" si="105"/>
        <v>0</v>
      </c>
      <c r="F142" s="41">
        <f t="shared" si="105"/>
        <v>0</v>
      </c>
      <c r="G142" s="41">
        <f t="shared" si="105"/>
        <v>0</v>
      </c>
      <c r="H142" s="41">
        <f t="shared" si="105"/>
        <v>0</v>
      </c>
      <c r="I142" s="41">
        <f t="shared" si="105"/>
        <v>0</v>
      </c>
      <c r="J142" s="41">
        <f t="shared" si="105"/>
        <v>0</v>
      </c>
      <c r="K142" s="99">
        <f t="shared" si="105"/>
        <v>0</v>
      </c>
      <c r="L142" s="41">
        <f t="shared" si="105"/>
        <v>0</v>
      </c>
      <c r="M142" s="41">
        <f t="shared" si="105"/>
        <v>0</v>
      </c>
      <c r="N142" s="41">
        <f t="shared" si="105"/>
        <v>0</v>
      </c>
      <c r="O142" s="41">
        <f t="shared" si="105"/>
        <v>1505.9</v>
      </c>
      <c r="P142" s="41">
        <f t="shared" si="105"/>
        <v>654.9</v>
      </c>
      <c r="R142" s="41">
        <f t="shared" si="105"/>
        <v>0</v>
      </c>
      <c r="S142" s="41">
        <f t="shared" si="105"/>
        <v>0</v>
      </c>
      <c r="T142" s="41">
        <f t="shared" si="105"/>
        <v>0</v>
      </c>
      <c r="U142" s="41">
        <f t="shared" si="105"/>
        <v>0</v>
      </c>
      <c r="V142" s="41">
        <f t="shared" si="105"/>
        <v>0</v>
      </c>
      <c r="W142" s="41">
        <f t="shared" si="105"/>
        <v>0</v>
      </c>
      <c r="X142" s="41">
        <f t="shared" si="105"/>
        <v>0</v>
      </c>
      <c r="Y142" s="41">
        <f t="shared" si="105"/>
        <v>0</v>
      </c>
      <c r="Z142" s="41">
        <f t="shared" si="105"/>
        <v>1.4036</v>
      </c>
      <c r="AB142" s="41">
        <f t="shared" ref="AB142:AG142" si="106">AB6*AB114</f>
        <v>0</v>
      </c>
      <c r="AC142" s="41">
        <f t="shared" si="106"/>
        <v>277.5</v>
      </c>
      <c r="AD142" s="41">
        <f t="shared" si="106"/>
        <v>0</v>
      </c>
      <c r="AE142" s="41">
        <f t="shared" si="106"/>
        <v>0</v>
      </c>
      <c r="AF142" s="41">
        <f t="shared" si="106"/>
        <v>335</v>
      </c>
      <c r="AG142" s="41">
        <f t="shared" si="106"/>
        <v>0</v>
      </c>
      <c r="AI142" s="41">
        <f t="shared" ref="AI142:AJ153" si="107">AI114*AI6</f>
        <v>141.15100000000001</v>
      </c>
      <c r="AJ142" s="41">
        <f t="shared" si="107"/>
        <v>49.817999999999998</v>
      </c>
    </row>
    <row r="143" spans="2:36">
      <c r="B143" s="118" t="s">
        <v>38</v>
      </c>
      <c r="C143" s="41">
        <f t="shared" si="104"/>
        <v>0</v>
      </c>
      <c r="D143" s="41">
        <f t="shared" ref="D143:P143" si="108">D7*D129</f>
        <v>0</v>
      </c>
      <c r="E143" s="41">
        <f t="shared" si="108"/>
        <v>0</v>
      </c>
      <c r="F143" s="41">
        <f t="shared" si="108"/>
        <v>0</v>
      </c>
      <c r="G143" s="41">
        <f t="shared" si="108"/>
        <v>0</v>
      </c>
      <c r="H143" s="41">
        <f t="shared" si="108"/>
        <v>0</v>
      </c>
      <c r="I143" s="41">
        <f t="shared" si="108"/>
        <v>0</v>
      </c>
      <c r="J143" s="41">
        <f t="shared" si="108"/>
        <v>0</v>
      </c>
      <c r="K143" s="99">
        <f t="shared" si="108"/>
        <v>0</v>
      </c>
      <c r="L143" s="41">
        <f t="shared" si="108"/>
        <v>0</v>
      </c>
      <c r="M143" s="41">
        <f t="shared" si="108"/>
        <v>0</v>
      </c>
      <c r="N143" s="41">
        <f t="shared" si="108"/>
        <v>0</v>
      </c>
      <c r="O143" s="41">
        <f t="shared" si="108"/>
        <v>1505.9</v>
      </c>
      <c r="P143" s="41">
        <f t="shared" si="108"/>
        <v>654.9</v>
      </c>
      <c r="R143" s="41">
        <f t="shared" ref="R143:Z143" si="109">R7*R129</f>
        <v>0</v>
      </c>
      <c r="S143" s="41">
        <f t="shared" si="109"/>
        <v>0</v>
      </c>
      <c r="T143" s="41">
        <f t="shared" si="109"/>
        <v>0</v>
      </c>
      <c r="U143" s="41">
        <f t="shared" si="109"/>
        <v>0</v>
      </c>
      <c r="V143" s="41">
        <f t="shared" si="109"/>
        <v>0</v>
      </c>
      <c r="W143" s="41">
        <f t="shared" si="109"/>
        <v>0</v>
      </c>
      <c r="X143" s="41">
        <f t="shared" si="109"/>
        <v>0</v>
      </c>
      <c r="Y143" s="41">
        <f t="shared" si="109"/>
        <v>0</v>
      </c>
      <c r="Z143" s="41">
        <f t="shared" si="109"/>
        <v>24.939999999999998</v>
      </c>
      <c r="AB143" s="41">
        <f t="shared" ref="AB143:AG153" si="110">AB7*AB115</f>
        <v>0</v>
      </c>
      <c r="AC143" s="41">
        <f t="shared" si="110"/>
        <v>277.5</v>
      </c>
      <c r="AD143" s="41">
        <f t="shared" si="110"/>
        <v>0</v>
      </c>
      <c r="AE143" s="41">
        <f t="shared" si="110"/>
        <v>0</v>
      </c>
      <c r="AF143" s="41">
        <f t="shared" si="110"/>
        <v>335</v>
      </c>
      <c r="AG143" s="41">
        <f t="shared" si="110"/>
        <v>0</v>
      </c>
      <c r="AI143" s="41">
        <f t="shared" si="107"/>
        <v>151.81</v>
      </c>
      <c r="AJ143" s="41">
        <f t="shared" si="107"/>
        <v>53.58</v>
      </c>
    </row>
    <row r="144" spans="2:36">
      <c r="B144" s="117" t="s">
        <v>39</v>
      </c>
      <c r="C144" s="41">
        <f t="shared" si="104"/>
        <v>0</v>
      </c>
      <c r="D144" s="41">
        <f t="shared" ref="D144:P144" si="111">D8*D130</f>
        <v>0</v>
      </c>
      <c r="E144" s="41">
        <f t="shared" si="111"/>
        <v>0</v>
      </c>
      <c r="F144" s="41">
        <f t="shared" si="111"/>
        <v>0</v>
      </c>
      <c r="G144" s="41">
        <f t="shared" si="111"/>
        <v>0</v>
      </c>
      <c r="H144" s="41">
        <f t="shared" si="111"/>
        <v>0</v>
      </c>
      <c r="I144" s="41">
        <f t="shared" si="111"/>
        <v>0</v>
      </c>
      <c r="J144" s="41">
        <f t="shared" si="111"/>
        <v>0</v>
      </c>
      <c r="K144" s="99">
        <f t="shared" si="111"/>
        <v>0</v>
      </c>
      <c r="L144" s="41">
        <f t="shared" si="111"/>
        <v>0</v>
      </c>
      <c r="M144" s="41">
        <f t="shared" si="111"/>
        <v>0</v>
      </c>
      <c r="N144" s="41">
        <f t="shared" si="111"/>
        <v>0</v>
      </c>
      <c r="O144" s="41">
        <f t="shared" si="111"/>
        <v>1505.9</v>
      </c>
      <c r="P144" s="41">
        <f t="shared" si="111"/>
        <v>654.9</v>
      </c>
      <c r="R144" s="41">
        <f t="shared" ref="R144:Z144" si="112">R8*R130</f>
        <v>0</v>
      </c>
      <c r="S144" s="41">
        <f t="shared" si="112"/>
        <v>0</v>
      </c>
      <c r="T144" s="41">
        <f t="shared" si="112"/>
        <v>0</v>
      </c>
      <c r="U144" s="41">
        <f t="shared" si="112"/>
        <v>0</v>
      </c>
      <c r="V144" s="41">
        <f t="shared" si="112"/>
        <v>0</v>
      </c>
      <c r="W144" s="41">
        <f t="shared" si="112"/>
        <v>0</v>
      </c>
      <c r="X144" s="41">
        <f t="shared" si="112"/>
        <v>0</v>
      </c>
      <c r="Y144" s="41">
        <f t="shared" si="112"/>
        <v>0</v>
      </c>
      <c r="Z144" s="41">
        <f t="shared" si="112"/>
        <v>1.4036</v>
      </c>
      <c r="AB144" s="41">
        <f t="shared" si="110"/>
        <v>0</v>
      </c>
      <c r="AC144" s="41">
        <f t="shared" si="110"/>
        <v>277.5</v>
      </c>
      <c r="AD144" s="41">
        <f t="shared" si="110"/>
        <v>0</v>
      </c>
      <c r="AE144" s="41">
        <f t="shared" si="110"/>
        <v>0</v>
      </c>
      <c r="AF144" s="41">
        <f t="shared" si="110"/>
        <v>335</v>
      </c>
      <c r="AG144" s="41">
        <f t="shared" si="110"/>
        <v>0</v>
      </c>
      <c r="AI144" s="41">
        <f t="shared" si="107"/>
        <v>141.15100000000001</v>
      </c>
      <c r="AJ144" s="41">
        <f t="shared" si="107"/>
        <v>49.817999999999998</v>
      </c>
    </row>
    <row r="145" spans="2:36">
      <c r="B145" s="118" t="s">
        <v>40</v>
      </c>
      <c r="C145" s="41">
        <f t="shared" si="104"/>
        <v>0</v>
      </c>
      <c r="D145" s="41">
        <f t="shared" ref="D145:P145" si="113">D9*D131</f>
        <v>0</v>
      </c>
      <c r="E145" s="41">
        <f t="shared" si="113"/>
        <v>0</v>
      </c>
      <c r="F145" s="41">
        <f t="shared" si="113"/>
        <v>0</v>
      </c>
      <c r="G145" s="41">
        <f t="shared" si="113"/>
        <v>0</v>
      </c>
      <c r="H145" s="41">
        <f t="shared" si="113"/>
        <v>0</v>
      </c>
      <c r="I145" s="41">
        <f t="shared" si="113"/>
        <v>0</v>
      </c>
      <c r="J145" s="41">
        <f t="shared" si="113"/>
        <v>0</v>
      </c>
      <c r="K145" s="99">
        <f t="shared" si="113"/>
        <v>0</v>
      </c>
      <c r="L145" s="41">
        <f t="shared" si="113"/>
        <v>0</v>
      </c>
      <c r="M145" s="41">
        <f t="shared" si="113"/>
        <v>0</v>
      </c>
      <c r="N145" s="41">
        <f t="shared" si="113"/>
        <v>0</v>
      </c>
      <c r="O145" s="41">
        <f t="shared" si="113"/>
        <v>1424.5</v>
      </c>
      <c r="P145" s="41">
        <f t="shared" si="113"/>
        <v>619.5</v>
      </c>
      <c r="R145" s="41">
        <f t="shared" ref="R145:Z145" si="114">R9*R131</f>
        <v>0</v>
      </c>
      <c r="S145" s="41">
        <f t="shared" si="114"/>
        <v>0</v>
      </c>
      <c r="T145" s="41">
        <f t="shared" si="114"/>
        <v>0</v>
      </c>
      <c r="U145" s="41">
        <f t="shared" si="114"/>
        <v>0</v>
      </c>
      <c r="V145" s="41">
        <f t="shared" si="114"/>
        <v>0</v>
      </c>
      <c r="W145" s="41">
        <f t="shared" si="114"/>
        <v>0</v>
      </c>
      <c r="X145" s="41">
        <f t="shared" si="114"/>
        <v>0</v>
      </c>
      <c r="Y145" s="41">
        <f t="shared" si="114"/>
        <v>0</v>
      </c>
      <c r="Z145" s="41">
        <f t="shared" si="114"/>
        <v>1.3397999999999999</v>
      </c>
      <c r="AB145" s="41">
        <f t="shared" si="110"/>
        <v>0</v>
      </c>
      <c r="AC145" s="41">
        <f t="shared" si="110"/>
        <v>262.5</v>
      </c>
      <c r="AD145" s="41">
        <f t="shared" si="110"/>
        <v>0</v>
      </c>
      <c r="AE145" s="41">
        <f t="shared" si="110"/>
        <v>0</v>
      </c>
      <c r="AF145" s="41">
        <f t="shared" si="110"/>
        <v>250</v>
      </c>
      <c r="AG145" s="41">
        <f t="shared" si="110"/>
        <v>0</v>
      </c>
      <c r="AI145" s="41">
        <f t="shared" si="107"/>
        <v>217.88050000000001</v>
      </c>
      <c r="AJ145" s="41">
        <f t="shared" si="107"/>
        <v>76.898999999999987</v>
      </c>
    </row>
    <row r="146" spans="2:36">
      <c r="B146" s="117" t="s">
        <v>7</v>
      </c>
      <c r="C146" s="41">
        <f t="shared" si="104"/>
        <v>0</v>
      </c>
      <c r="D146" s="41">
        <f t="shared" ref="D146:P146" si="115">D10*D132</f>
        <v>0</v>
      </c>
      <c r="E146" s="41">
        <f t="shared" si="115"/>
        <v>0</v>
      </c>
      <c r="F146" s="41">
        <f t="shared" si="115"/>
        <v>0</v>
      </c>
      <c r="G146" s="41">
        <f t="shared" si="115"/>
        <v>0</v>
      </c>
      <c r="H146" s="41">
        <f t="shared" si="115"/>
        <v>0</v>
      </c>
      <c r="I146" s="41">
        <f t="shared" si="115"/>
        <v>0</v>
      </c>
      <c r="J146" s="41">
        <f t="shared" si="115"/>
        <v>0</v>
      </c>
      <c r="K146" s="99">
        <f t="shared" si="115"/>
        <v>0</v>
      </c>
      <c r="L146" s="41">
        <f t="shared" si="115"/>
        <v>0</v>
      </c>
      <c r="M146" s="41">
        <f t="shared" si="115"/>
        <v>0</v>
      </c>
      <c r="N146" s="41">
        <f t="shared" si="115"/>
        <v>0</v>
      </c>
      <c r="O146" s="41">
        <f t="shared" si="115"/>
        <v>1505.9</v>
      </c>
      <c r="P146" s="41">
        <f t="shared" si="115"/>
        <v>654.9</v>
      </c>
      <c r="R146" s="41">
        <f t="shared" ref="R146:Z146" si="116">R10*R132</f>
        <v>0</v>
      </c>
      <c r="S146" s="41">
        <f t="shared" si="116"/>
        <v>0</v>
      </c>
      <c r="T146" s="41">
        <f t="shared" si="116"/>
        <v>0</v>
      </c>
      <c r="U146" s="41">
        <f t="shared" si="116"/>
        <v>0</v>
      </c>
      <c r="V146" s="41">
        <f t="shared" si="116"/>
        <v>0</v>
      </c>
      <c r="W146" s="41">
        <f t="shared" si="116"/>
        <v>0</v>
      </c>
      <c r="X146" s="41">
        <f t="shared" si="116"/>
        <v>0</v>
      </c>
      <c r="Y146" s="41">
        <f t="shared" si="116"/>
        <v>0</v>
      </c>
      <c r="Z146" s="41">
        <f t="shared" si="116"/>
        <v>1.4036</v>
      </c>
      <c r="AB146" s="41">
        <f t="shared" si="110"/>
        <v>0</v>
      </c>
      <c r="AC146" s="41">
        <f t="shared" si="110"/>
        <v>277.5</v>
      </c>
      <c r="AD146" s="41">
        <f t="shared" si="110"/>
        <v>0</v>
      </c>
      <c r="AE146" s="41">
        <f t="shared" si="110"/>
        <v>0</v>
      </c>
      <c r="AF146" s="41">
        <f t="shared" si="110"/>
        <v>250</v>
      </c>
      <c r="AG146" s="41">
        <f t="shared" si="110"/>
        <v>0</v>
      </c>
      <c r="AI146" s="41">
        <f t="shared" si="107"/>
        <v>139.00900000000001</v>
      </c>
      <c r="AJ146" s="41">
        <f t="shared" si="107"/>
        <v>49.061999999999998</v>
      </c>
    </row>
    <row r="147" spans="2:36">
      <c r="B147" s="118" t="s">
        <v>41</v>
      </c>
      <c r="C147" s="41">
        <f t="shared" si="104"/>
        <v>0</v>
      </c>
      <c r="D147" s="41">
        <f t="shared" ref="D147:P147" si="117">D11*D133</f>
        <v>0</v>
      </c>
      <c r="E147" s="41">
        <f t="shared" si="117"/>
        <v>0</v>
      </c>
      <c r="F147" s="41">
        <f t="shared" si="117"/>
        <v>0</v>
      </c>
      <c r="G147" s="41">
        <f t="shared" si="117"/>
        <v>0</v>
      </c>
      <c r="H147" s="41">
        <f t="shared" si="117"/>
        <v>0</v>
      </c>
      <c r="I147" s="41">
        <f t="shared" si="117"/>
        <v>0</v>
      </c>
      <c r="J147" s="41">
        <f t="shared" si="117"/>
        <v>0</v>
      </c>
      <c r="K147" s="99">
        <f t="shared" si="117"/>
        <v>1089.96</v>
      </c>
      <c r="L147" s="41">
        <f t="shared" si="117"/>
        <v>2062.7399999999998</v>
      </c>
      <c r="M147" s="41">
        <f t="shared" si="117"/>
        <v>2034.84</v>
      </c>
      <c r="N147" s="41">
        <f t="shared" si="117"/>
        <v>0</v>
      </c>
      <c r="O147" s="41">
        <f t="shared" si="117"/>
        <v>0</v>
      </c>
      <c r="P147" s="41">
        <f t="shared" si="117"/>
        <v>0</v>
      </c>
      <c r="R147" s="41">
        <f t="shared" ref="R147:Z147" si="118">R11*R133</f>
        <v>0</v>
      </c>
      <c r="S147" s="41">
        <f t="shared" si="118"/>
        <v>0</v>
      </c>
      <c r="T147" s="41">
        <f t="shared" si="118"/>
        <v>0</v>
      </c>
      <c r="U147" s="41">
        <f t="shared" si="118"/>
        <v>0</v>
      </c>
      <c r="V147" s="41">
        <f t="shared" si="118"/>
        <v>0</v>
      </c>
      <c r="W147" s="41">
        <f t="shared" si="118"/>
        <v>0</v>
      </c>
      <c r="X147" s="41">
        <f t="shared" si="118"/>
        <v>1.3397999999999999</v>
      </c>
      <c r="Y147" s="41">
        <f t="shared" si="118"/>
        <v>0</v>
      </c>
      <c r="Z147" s="41">
        <f t="shared" si="118"/>
        <v>0</v>
      </c>
      <c r="AB147" s="41">
        <f t="shared" si="110"/>
        <v>228.78</v>
      </c>
      <c r="AC147" s="41">
        <f t="shared" si="110"/>
        <v>279</v>
      </c>
      <c r="AD147" s="41">
        <f t="shared" si="110"/>
        <v>0</v>
      </c>
      <c r="AE147" s="41">
        <f t="shared" si="110"/>
        <v>0</v>
      </c>
      <c r="AF147" s="41">
        <f t="shared" si="110"/>
        <v>250</v>
      </c>
      <c r="AG147" s="41">
        <f t="shared" si="110"/>
        <v>0</v>
      </c>
      <c r="AI147" s="41">
        <f t="shared" si="107"/>
        <v>144.89950000000002</v>
      </c>
      <c r="AJ147" s="41">
        <f t="shared" si="107"/>
        <v>51.140999999999998</v>
      </c>
    </row>
    <row r="148" spans="2:36">
      <c r="B148" s="117" t="s">
        <v>42</v>
      </c>
      <c r="C148" s="41">
        <f t="shared" si="104"/>
        <v>0</v>
      </c>
      <c r="D148" s="41">
        <f t="shared" ref="D148:P148" si="119">D12*D134</f>
        <v>0</v>
      </c>
      <c r="E148" s="41">
        <f t="shared" si="119"/>
        <v>0</v>
      </c>
      <c r="F148" s="41">
        <f t="shared" si="119"/>
        <v>0</v>
      </c>
      <c r="G148" s="41">
        <f t="shared" si="119"/>
        <v>0</v>
      </c>
      <c r="H148" s="41">
        <f t="shared" si="119"/>
        <v>0</v>
      </c>
      <c r="I148" s="41">
        <f t="shared" si="119"/>
        <v>0</v>
      </c>
      <c r="J148" s="41">
        <f t="shared" si="119"/>
        <v>0</v>
      </c>
      <c r="K148" s="99">
        <f t="shared" si="119"/>
        <v>4019.96</v>
      </c>
      <c r="L148" s="41">
        <f t="shared" si="119"/>
        <v>7607.74</v>
      </c>
      <c r="M148" s="41">
        <f t="shared" si="119"/>
        <v>7504.8399999999992</v>
      </c>
      <c r="N148" s="41">
        <f t="shared" si="119"/>
        <v>0</v>
      </c>
      <c r="O148" s="41">
        <f t="shared" si="119"/>
        <v>0</v>
      </c>
      <c r="P148" s="41">
        <f t="shared" si="119"/>
        <v>0</v>
      </c>
      <c r="R148" s="41">
        <f t="shared" ref="R148:Z148" si="120">R12*R134</f>
        <v>0</v>
      </c>
      <c r="S148" s="41">
        <f t="shared" si="120"/>
        <v>0</v>
      </c>
      <c r="T148" s="41">
        <f t="shared" si="120"/>
        <v>0</v>
      </c>
      <c r="U148" s="41">
        <f t="shared" si="120"/>
        <v>0</v>
      </c>
      <c r="V148" s="41">
        <f t="shared" si="120"/>
        <v>0</v>
      </c>
      <c r="W148" s="41">
        <f t="shared" si="120"/>
        <v>0</v>
      </c>
      <c r="X148" s="41">
        <f t="shared" si="120"/>
        <v>1.4036</v>
      </c>
      <c r="Y148" s="41">
        <f t="shared" si="120"/>
        <v>0</v>
      </c>
      <c r="Z148" s="41">
        <f t="shared" si="120"/>
        <v>0</v>
      </c>
      <c r="AB148" s="41">
        <f t="shared" si="110"/>
        <v>843.78</v>
      </c>
      <c r="AC148" s="41">
        <f t="shared" si="110"/>
        <v>1029</v>
      </c>
      <c r="AD148" s="41">
        <f t="shared" si="110"/>
        <v>0</v>
      </c>
      <c r="AE148" s="41">
        <f t="shared" si="110"/>
        <v>0</v>
      </c>
      <c r="AF148" s="41">
        <f t="shared" si="110"/>
        <v>250</v>
      </c>
      <c r="AG148" s="41">
        <f t="shared" si="110"/>
        <v>0</v>
      </c>
      <c r="AI148" s="41">
        <f t="shared" si="107"/>
        <v>139.00900000000001</v>
      </c>
      <c r="AJ148" s="41">
        <f t="shared" si="107"/>
        <v>49.061999999999998</v>
      </c>
    </row>
    <row r="149" spans="2:36">
      <c r="B149" s="118" t="s">
        <v>43</v>
      </c>
      <c r="C149" s="41">
        <f t="shared" si="104"/>
        <v>0</v>
      </c>
      <c r="D149" s="41">
        <f t="shared" ref="D149:P149" si="121">D13*D135</f>
        <v>0</v>
      </c>
      <c r="E149" s="41">
        <f t="shared" si="121"/>
        <v>0</v>
      </c>
      <c r="F149" s="41">
        <f t="shared" si="121"/>
        <v>0</v>
      </c>
      <c r="G149" s="41">
        <f t="shared" si="121"/>
        <v>0</v>
      </c>
      <c r="H149" s="41">
        <f t="shared" si="121"/>
        <v>0</v>
      </c>
      <c r="I149" s="41">
        <f t="shared" si="121"/>
        <v>0</v>
      </c>
      <c r="J149" s="41">
        <f t="shared" si="121"/>
        <v>0</v>
      </c>
      <c r="K149" s="99">
        <f t="shared" si="121"/>
        <v>1084.1000000000001</v>
      </c>
      <c r="L149" s="41">
        <f t="shared" si="121"/>
        <v>2051.65</v>
      </c>
      <c r="M149" s="41">
        <f t="shared" si="121"/>
        <v>2023.8999999999999</v>
      </c>
      <c r="N149" s="41">
        <f t="shared" si="121"/>
        <v>0</v>
      </c>
      <c r="O149" s="41">
        <f t="shared" si="121"/>
        <v>0</v>
      </c>
      <c r="P149" s="41">
        <f t="shared" si="121"/>
        <v>0</v>
      </c>
      <c r="R149" s="41">
        <f t="shared" ref="R149:Z149" si="122">R13*R135</f>
        <v>0</v>
      </c>
      <c r="S149" s="41">
        <f t="shared" si="122"/>
        <v>0</v>
      </c>
      <c r="T149" s="41">
        <f t="shared" si="122"/>
        <v>0</v>
      </c>
      <c r="U149" s="41">
        <f t="shared" si="122"/>
        <v>0</v>
      </c>
      <c r="V149" s="41">
        <f t="shared" si="122"/>
        <v>0</v>
      </c>
      <c r="W149" s="41">
        <f t="shared" si="122"/>
        <v>0</v>
      </c>
      <c r="X149" s="41">
        <f t="shared" si="122"/>
        <v>1.4036</v>
      </c>
      <c r="Y149" s="41">
        <f t="shared" si="122"/>
        <v>0</v>
      </c>
      <c r="Z149" s="41">
        <f t="shared" si="122"/>
        <v>0</v>
      </c>
      <c r="AB149" s="41">
        <f t="shared" si="110"/>
        <v>227.54999999999998</v>
      </c>
      <c r="AC149" s="41">
        <f t="shared" si="110"/>
        <v>277.5</v>
      </c>
      <c r="AD149" s="41">
        <f t="shared" si="110"/>
        <v>0</v>
      </c>
      <c r="AE149" s="41">
        <f t="shared" si="110"/>
        <v>0</v>
      </c>
      <c r="AF149" s="41">
        <f t="shared" si="110"/>
        <v>250</v>
      </c>
      <c r="AG149" s="41">
        <f t="shared" si="110"/>
        <v>0</v>
      </c>
      <c r="AI149" s="41">
        <f t="shared" si="107"/>
        <v>139.00900000000001</v>
      </c>
      <c r="AJ149" s="41">
        <f t="shared" si="107"/>
        <v>49.061999999999998</v>
      </c>
    </row>
    <row r="150" spans="2:36">
      <c r="B150" s="117" t="s">
        <v>44</v>
      </c>
      <c r="C150" s="41">
        <f t="shared" si="104"/>
        <v>0</v>
      </c>
      <c r="D150" s="41">
        <f t="shared" ref="D150:P150" si="123">D14*D136</f>
        <v>0</v>
      </c>
      <c r="E150" s="41">
        <f t="shared" si="123"/>
        <v>0</v>
      </c>
      <c r="F150" s="41">
        <f t="shared" si="123"/>
        <v>0</v>
      </c>
      <c r="G150" s="41">
        <f t="shared" si="123"/>
        <v>0</v>
      </c>
      <c r="H150" s="41">
        <f t="shared" si="123"/>
        <v>0</v>
      </c>
      <c r="I150" s="41">
        <f t="shared" si="123"/>
        <v>0</v>
      </c>
      <c r="J150" s="41">
        <f t="shared" si="123"/>
        <v>0</v>
      </c>
      <c r="K150" s="99">
        <f t="shared" si="123"/>
        <v>1084.1000000000001</v>
      </c>
      <c r="L150" s="41">
        <f t="shared" si="123"/>
        <v>2051.65</v>
      </c>
      <c r="M150" s="41">
        <f t="shared" si="123"/>
        <v>2023.8999999999999</v>
      </c>
      <c r="N150" s="41">
        <f t="shared" si="123"/>
        <v>0</v>
      </c>
      <c r="O150" s="41">
        <f t="shared" si="123"/>
        <v>0</v>
      </c>
      <c r="P150" s="41">
        <f t="shared" si="123"/>
        <v>0</v>
      </c>
      <c r="R150" s="41">
        <f t="shared" ref="R150:Z150" si="124">R14*R136</f>
        <v>0</v>
      </c>
      <c r="S150" s="41">
        <f t="shared" si="124"/>
        <v>0</v>
      </c>
      <c r="T150" s="41">
        <f t="shared" si="124"/>
        <v>0</v>
      </c>
      <c r="U150" s="41">
        <f t="shared" si="124"/>
        <v>0</v>
      </c>
      <c r="V150" s="41">
        <f t="shared" si="124"/>
        <v>0</v>
      </c>
      <c r="W150" s="41">
        <f t="shared" si="124"/>
        <v>0</v>
      </c>
      <c r="X150" s="41">
        <f t="shared" si="124"/>
        <v>1.3397999999999999</v>
      </c>
      <c r="Y150" s="41">
        <f t="shared" si="124"/>
        <v>0</v>
      </c>
      <c r="Z150" s="41">
        <f t="shared" si="124"/>
        <v>0</v>
      </c>
      <c r="AB150" s="41">
        <f t="shared" si="110"/>
        <v>0</v>
      </c>
      <c r="AC150" s="41">
        <f t="shared" si="110"/>
        <v>0</v>
      </c>
      <c r="AD150" s="41">
        <f t="shared" si="110"/>
        <v>0</v>
      </c>
      <c r="AE150" s="41">
        <f t="shared" si="110"/>
        <v>0</v>
      </c>
      <c r="AF150" s="41">
        <f t="shared" si="110"/>
        <v>250</v>
      </c>
      <c r="AG150" s="41">
        <f t="shared" si="110"/>
        <v>0</v>
      </c>
      <c r="AI150" s="41">
        <f t="shared" si="107"/>
        <v>144.89950000000002</v>
      </c>
      <c r="AJ150" s="41">
        <f t="shared" si="107"/>
        <v>51.140999999999998</v>
      </c>
    </row>
    <row r="151" spans="2:36">
      <c r="B151" s="118" t="s">
        <v>45</v>
      </c>
      <c r="C151" s="41">
        <f t="shared" si="104"/>
        <v>0</v>
      </c>
      <c r="D151" s="41">
        <f t="shared" ref="D151:P151" si="125">D15*D137</f>
        <v>0</v>
      </c>
      <c r="E151" s="41">
        <f t="shared" si="125"/>
        <v>0</v>
      </c>
      <c r="F151" s="41">
        <f t="shared" si="125"/>
        <v>0</v>
      </c>
      <c r="G151" s="41">
        <f t="shared" si="125"/>
        <v>0</v>
      </c>
      <c r="H151" s="41">
        <f t="shared" si="125"/>
        <v>0</v>
      </c>
      <c r="I151" s="41">
        <f t="shared" si="125"/>
        <v>0</v>
      </c>
      <c r="J151" s="41">
        <f t="shared" si="125"/>
        <v>0</v>
      </c>
      <c r="K151" s="99">
        <f t="shared" si="125"/>
        <v>0</v>
      </c>
      <c r="L151" s="41">
        <f t="shared" si="125"/>
        <v>0</v>
      </c>
      <c r="M151" s="41">
        <f t="shared" si="125"/>
        <v>0</v>
      </c>
      <c r="N151" s="41">
        <f t="shared" si="125"/>
        <v>0</v>
      </c>
      <c r="O151" s="41">
        <f t="shared" si="125"/>
        <v>1424.5</v>
      </c>
      <c r="P151" s="41">
        <f t="shared" si="125"/>
        <v>619.5</v>
      </c>
      <c r="R151" s="41">
        <f t="shared" ref="R151:Z151" si="126">R15*R137</f>
        <v>0</v>
      </c>
      <c r="S151" s="41">
        <f t="shared" si="126"/>
        <v>0</v>
      </c>
      <c r="T151" s="41">
        <f t="shared" si="126"/>
        <v>0</v>
      </c>
      <c r="U151" s="41">
        <f t="shared" si="126"/>
        <v>0</v>
      </c>
      <c r="V151" s="41">
        <f t="shared" si="126"/>
        <v>0</v>
      </c>
      <c r="W151" s="41">
        <f t="shared" si="126"/>
        <v>0</v>
      </c>
      <c r="X151" s="41">
        <f t="shared" si="126"/>
        <v>0</v>
      </c>
      <c r="Y151" s="41">
        <f t="shared" si="126"/>
        <v>0</v>
      </c>
      <c r="Z151" s="41">
        <f t="shared" si="126"/>
        <v>1.4036</v>
      </c>
      <c r="AB151" s="41">
        <f t="shared" si="110"/>
        <v>0</v>
      </c>
      <c r="AC151" s="41">
        <f t="shared" si="110"/>
        <v>262.5</v>
      </c>
      <c r="AD151" s="41">
        <f t="shared" si="110"/>
        <v>0</v>
      </c>
      <c r="AE151" s="41">
        <f t="shared" si="110"/>
        <v>0</v>
      </c>
      <c r="AF151" s="41">
        <f t="shared" si="110"/>
        <v>240</v>
      </c>
      <c r="AG151" s="41">
        <f t="shared" si="110"/>
        <v>0</v>
      </c>
      <c r="AI151" s="41">
        <f t="shared" si="107"/>
        <v>108.85100000000001</v>
      </c>
      <c r="AJ151" s="41">
        <f t="shared" si="107"/>
        <v>38.417999999999999</v>
      </c>
    </row>
    <row r="152" spans="2:36">
      <c r="B152" s="117" t="s">
        <v>46</v>
      </c>
      <c r="C152" s="41">
        <f t="shared" ref="C152:P152" si="127">C16*C138</f>
        <v>0</v>
      </c>
      <c r="D152" s="41">
        <f t="shared" si="127"/>
        <v>0</v>
      </c>
      <c r="E152" s="41">
        <f t="shared" si="127"/>
        <v>0</v>
      </c>
      <c r="F152" s="41">
        <f t="shared" si="127"/>
        <v>0</v>
      </c>
      <c r="G152" s="41">
        <f t="shared" si="127"/>
        <v>0</v>
      </c>
      <c r="H152" s="41">
        <f t="shared" si="127"/>
        <v>0</v>
      </c>
      <c r="I152" s="41">
        <f t="shared" si="127"/>
        <v>0</v>
      </c>
      <c r="J152" s="41">
        <f t="shared" si="127"/>
        <v>0</v>
      </c>
      <c r="K152" s="99">
        <f t="shared" si="127"/>
        <v>0</v>
      </c>
      <c r="L152" s="41">
        <f t="shared" si="127"/>
        <v>0</v>
      </c>
      <c r="M152" s="41">
        <f t="shared" si="127"/>
        <v>0</v>
      </c>
      <c r="N152" s="41">
        <f t="shared" si="127"/>
        <v>0</v>
      </c>
      <c r="O152" s="41">
        <f t="shared" si="127"/>
        <v>1505.9</v>
      </c>
      <c r="P152" s="41">
        <f t="shared" si="127"/>
        <v>654.9</v>
      </c>
      <c r="R152" s="41">
        <f t="shared" ref="R152:Z152" si="128">R16*R138</f>
        <v>0</v>
      </c>
      <c r="S152" s="41">
        <f t="shared" si="128"/>
        <v>0</v>
      </c>
      <c r="T152" s="41">
        <f t="shared" si="128"/>
        <v>0</v>
      </c>
      <c r="U152" s="41">
        <f t="shared" si="128"/>
        <v>0</v>
      </c>
      <c r="V152" s="41">
        <f t="shared" si="128"/>
        <v>0</v>
      </c>
      <c r="W152" s="41">
        <f t="shared" si="128"/>
        <v>0</v>
      </c>
      <c r="X152" s="41">
        <f t="shared" si="128"/>
        <v>0</v>
      </c>
      <c r="Y152" s="41">
        <f t="shared" si="128"/>
        <v>0</v>
      </c>
      <c r="Z152" s="41">
        <f t="shared" si="128"/>
        <v>6.7569999999999997</v>
      </c>
      <c r="AB152" s="41">
        <f t="shared" si="110"/>
        <v>0</v>
      </c>
      <c r="AC152" s="41">
        <f t="shared" si="110"/>
        <v>277.5</v>
      </c>
      <c r="AD152" s="41">
        <f t="shared" si="110"/>
        <v>0</v>
      </c>
      <c r="AE152" s="41">
        <f t="shared" si="110"/>
        <v>0</v>
      </c>
      <c r="AF152" s="41">
        <f t="shared" si="110"/>
        <v>335</v>
      </c>
      <c r="AG152" s="41">
        <f t="shared" si="110"/>
        <v>0</v>
      </c>
      <c r="AI152" s="41">
        <f t="shared" si="107"/>
        <v>146.48050000000001</v>
      </c>
      <c r="AJ152" s="41">
        <f t="shared" si="107"/>
        <v>51.698999999999998</v>
      </c>
    </row>
    <row r="153" spans="2:36">
      <c r="B153" s="118" t="s">
        <v>47</v>
      </c>
      <c r="C153" s="41">
        <f t="shared" ref="C153:P153" si="129">C17*C139</f>
        <v>0</v>
      </c>
      <c r="D153" s="41">
        <f t="shared" si="129"/>
        <v>0</v>
      </c>
      <c r="E153" s="41">
        <f t="shared" si="129"/>
        <v>0</v>
      </c>
      <c r="F153" s="41">
        <f t="shared" si="129"/>
        <v>0</v>
      </c>
      <c r="G153" s="41">
        <f t="shared" si="129"/>
        <v>0</v>
      </c>
      <c r="H153" s="41">
        <f t="shared" si="129"/>
        <v>0</v>
      </c>
      <c r="I153" s="41">
        <f t="shared" si="129"/>
        <v>0</v>
      </c>
      <c r="J153" s="41">
        <f t="shared" si="129"/>
        <v>0</v>
      </c>
      <c r="K153" s="99">
        <f t="shared" si="129"/>
        <v>0</v>
      </c>
      <c r="L153" s="41">
        <f t="shared" si="129"/>
        <v>0</v>
      </c>
      <c r="M153" s="41">
        <f t="shared" si="129"/>
        <v>0</v>
      </c>
      <c r="N153" s="41">
        <f t="shared" si="129"/>
        <v>0</v>
      </c>
      <c r="O153" s="41">
        <f t="shared" si="129"/>
        <v>1505.9</v>
      </c>
      <c r="P153" s="41">
        <f t="shared" si="129"/>
        <v>654.9</v>
      </c>
      <c r="R153" s="41">
        <f t="shared" ref="R153:Z153" si="130">R17*R139</f>
        <v>0</v>
      </c>
      <c r="S153" s="41">
        <f t="shared" si="130"/>
        <v>0</v>
      </c>
      <c r="T153" s="41">
        <f t="shared" si="130"/>
        <v>0</v>
      </c>
      <c r="U153" s="41">
        <f t="shared" si="130"/>
        <v>0</v>
      </c>
      <c r="V153" s="41">
        <f t="shared" si="130"/>
        <v>0</v>
      </c>
      <c r="W153" s="41">
        <f t="shared" si="130"/>
        <v>0</v>
      </c>
      <c r="X153" s="41">
        <f t="shared" si="130"/>
        <v>0</v>
      </c>
      <c r="Y153" s="41">
        <f t="shared" si="130"/>
        <v>0</v>
      </c>
      <c r="Z153" s="41">
        <f t="shared" si="130"/>
        <v>1.4036</v>
      </c>
      <c r="AB153" s="41">
        <f t="shared" si="110"/>
        <v>0</v>
      </c>
      <c r="AC153" s="41">
        <f t="shared" si="110"/>
        <v>277.5</v>
      </c>
      <c r="AD153" s="41">
        <f t="shared" si="110"/>
        <v>0</v>
      </c>
      <c r="AE153" s="41">
        <f t="shared" si="110"/>
        <v>0</v>
      </c>
      <c r="AF153" s="41">
        <f t="shared" si="110"/>
        <v>335</v>
      </c>
      <c r="AG153" s="41">
        <f t="shared" si="110"/>
        <v>0</v>
      </c>
      <c r="AI153" s="41">
        <f t="shared" si="107"/>
        <v>141.15100000000001</v>
      </c>
      <c r="AJ153" s="41">
        <f t="shared" si="107"/>
        <v>49.817999999999998</v>
      </c>
    </row>
    <row r="154" spans="2:36">
      <c r="B154" s="37" t="s">
        <v>65</v>
      </c>
      <c r="C154" s="120">
        <f t="shared" ref="C154:R154" si="131">SUM(C142:C153)</f>
        <v>0</v>
      </c>
      <c r="D154" s="120">
        <f t="shared" si="131"/>
        <v>0</v>
      </c>
      <c r="E154" s="120">
        <f t="shared" si="131"/>
        <v>0</v>
      </c>
      <c r="F154" s="120">
        <f t="shared" si="131"/>
        <v>0</v>
      </c>
      <c r="G154" s="120">
        <f t="shared" si="131"/>
        <v>0</v>
      </c>
      <c r="H154" s="120">
        <f t="shared" si="131"/>
        <v>0</v>
      </c>
      <c r="I154" s="120">
        <f t="shared" si="131"/>
        <v>0</v>
      </c>
      <c r="J154" s="120">
        <f t="shared" si="131"/>
        <v>0</v>
      </c>
      <c r="K154" s="120">
        <f t="shared" si="131"/>
        <v>7278.1200000000008</v>
      </c>
      <c r="L154" s="120">
        <f t="shared" si="131"/>
        <v>13773.779999999999</v>
      </c>
      <c r="M154" s="120">
        <f t="shared" si="131"/>
        <v>13587.479999999998</v>
      </c>
      <c r="N154" s="120">
        <f t="shared" si="131"/>
        <v>0</v>
      </c>
      <c r="O154" s="120">
        <f t="shared" si="131"/>
        <v>11884.4</v>
      </c>
      <c r="P154" s="120">
        <f t="shared" si="131"/>
        <v>5168.3999999999996</v>
      </c>
      <c r="R154" s="120">
        <f t="shared" si="131"/>
        <v>0</v>
      </c>
      <c r="S154" s="120">
        <f t="shared" ref="S154:Z154" si="132">SUM(S142:S153)</f>
        <v>0</v>
      </c>
      <c r="T154" s="120">
        <f t="shared" si="132"/>
        <v>0</v>
      </c>
      <c r="U154" s="120">
        <f t="shared" si="132"/>
        <v>0</v>
      </c>
      <c r="V154" s="120">
        <f t="shared" si="132"/>
        <v>0</v>
      </c>
      <c r="W154" s="120">
        <f t="shared" si="132"/>
        <v>0</v>
      </c>
      <c r="X154" s="120">
        <f t="shared" si="132"/>
        <v>5.4868000000000006</v>
      </c>
      <c r="Y154" s="120">
        <f t="shared" si="132"/>
        <v>0</v>
      </c>
      <c r="Z154" s="120">
        <f t="shared" si="132"/>
        <v>40.0548</v>
      </c>
      <c r="AB154" s="120">
        <f t="shared" ref="AB154:AG154" si="133">SUM(AB142:AB153)</f>
        <v>1300.1099999999999</v>
      </c>
      <c r="AC154" s="120">
        <f t="shared" si="133"/>
        <v>3775.5</v>
      </c>
      <c r="AD154" s="120">
        <f t="shared" si="133"/>
        <v>0</v>
      </c>
      <c r="AE154" s="120">
        <f t="shared" si="133"/>
        <v>0</v>
      </c>
      <c r="AF154" s="120">
        <f t="shared" si="133"/>
        <v>3415</v>
      </c>
      <c r="AG154" s="120">
        <f t="shared" si="133"/>
        <v>0</v>
      </c>
      <c r="AI154" s="120">
        <f>SUM(AI142:AI153)</f>
        <v>1755.3010000000002</v>
      </c>
      <c r="AJ154" s="120">
        <f>SUM(AJ142:AJ153)</f>
        <v>619.51800000000003</v>
      </c>
    </row>
    <row r="155" spans="2:36">
      <c r="O155" s="210" t="s">
        <v>242</v>
      </c>
      <c r="P155" s="126">
        <f>SUM(C154:P154)</f>
        <v>51692.18</v>
      </c>
      <c r="Y155" s="210" t="s">
        <v>242</v>
      </c>
      <c r="Z155" s="126">
        <f>SUM(R154:Z154)</f>
        <v>45.541600000000003</v>
      </c>
      <c r="AF155" s="210" t="s">
        <v>373</v>
      </c>
      <c r="AG155" s="126">
        <f>SUM(AB154:AG154)</f>
        <v>8490.61</v>
      </c>
      <c r="AI155" s="210" t="s">
        <v>274</v>
      </c>
      <c r="AJ155" s="126">
        <f>SUM(AI154:AJ154)</f>
        <v>2374.8190000000004</v>
      </c>
    </row>
    <row r="157" spans="2:36">
      <c r="P157" s="275">
        <f>(P111+Z111+AG111+AJ111)-(P155+Z155+AG155+AJ155)</f>
        <v>7985.7303999999931</v>
      </c>
      <c r="Q157" s="101" t="s">
        <v>390</v>
      </c>
    </row>
    <row r="158" spans="2:36">
      <c r="P158" s="126">
        <f>'CHP &amp; Energy'!AA51</f>
        <v>4352.7</v>
      </c>
      <c r="Q158" s="101" t="s">
        <v>388</v>
      </c>
    </row>
    <row r="159" spans="2:36">
      <c r="P159" s="126">
        <f>SUM(P157:P158)</f>
        <v>12338.430399999994</v>
      </c>
      <c r="Q159" s="101" t="s">
        <v>389</v>
      </c>
    </row>
  </sheetData>
  <mergeCells count="8">
    <mergeCell ref="R3:S3"/>
    <mergeCell ref="T3:U3"/>
    <mergeCell ref="V3:X3"/>
    <mergeCell ref="Y3:Z3"/>
    <mergeCell ref="C3:F3"/>
    <mergeCell ref="G3:J3"/>
    <mergeCell ref="K3:M3"/>
    <mergeCell ref="N3:O3"/>
  </mergeCells>
  <phoneticPr fontId="0" type="noConversion"/>
  <pageMargins left="0.5" right="0.5" top="0.75" bottom="0.75" header="0.5" footer="0.5"/>
  <pageSetup scale="59" fitToWidth="2" fitToHeight="0" orientation="landscape"/>
  <headerFooter>
    <oddHeader>&amp;C&amp;"Arial,Bold"ConEd_Est_v1</oddHeader>
    <oddFooter>&amp;C&amp;"Arial,Bold"&amp;A&amp;RPage &amp;P</oddFooter>
  </headerFooter>
  <rowBreaks count="2" manualBreakCount="2">
    <brk id="65" max="39" man="1"/>
    <brk id="112" max="39" man="1"/>
  </rowBreaks>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dimension ref="A1:AB352"/>
  <sheetViews>
    <sheetView zoomScale="55" workbookViewId="0">
      <selection activeCell="K10" sqref="K10"/>
    </sheetView>
  </sheetViews>
  <sheetFormatPr baseColWidth="10" defaultColWidth="8.83203125" defaultRowHeight="12" x14ac:dyDescent="0"/>
  <cols>
    <col min="1" max="1" width="5.6640625" customWidth="1"/>
    <col min="2" max="2" width="18.6640625" customWidth="1"/>
    <col min="3" max="3" width="10.6640625" customWidth="1"/>
    <col min="4" max="7" width="9.5" bestFit="1" customWidth="1"/>
    <col min="8" max="9" width="9.5" customWidth="1"/>
    <col min="11" max="13" width="9.5" bestFit="1" customWidth="1"/>
    <col min="14" max="14" width="11.5" bestFit="1" customWidth="1"/>
    <col min="15" max="15" width="9.33203125" style="45" customWidth="1"/>
    <col min="16" max="19" width="9.5" bestFit="1" customWidth="1"/>
    <col min="20" max="21" width="9.5" customWidth="1"/>
    <col min="23" max="24" width="9.5" bestFit="1" customWidth="1"/>
    <col min="28" max="28" width="9.5" customWidth="1"/>
  </cols>
  <sheetData>
    <row r="1" spans="1:26" ht="15">
      <c r="B1" s="3" t="s">
        <v>49</v>
      </c>
    </row>
    <row r="3" spans="1:26">
      <c r="C3" s="1" t="s">
        <v>75</v>
      </c>
      <c r="F3" s="60"/>
      <c r="J3" s="1" t="s">
        <v>157</v>
      </c>
    </row>
    <row r="4" spans="1:26">
      <c r="E4" s="21" t="s">
        <v>62</v>
      </c>
      <c r="F4" s="493" t="s">
        <v>27</v>
      </c>
      <c r="G4" s="493"/>
      <c r="H4" s="493" t="s">
        <v>28</v>
      </c>
      <c r="I4" s="493"/>
    </row>
    <row r="5" spans="1:26" ht="13">
      <c r="B5" s="13" t="s">
        <v>29</v>
      </c>
      <c r="C5" t="s">
        <v>30</v>
      </c>
      <c r="D5" t="s">
        <v>31</v>
      </c>
      <c r="E5" s="21" t="s">
        <v>0</v>
      </c>
      <c r="F5" s="21" t="s">
        <v>32</v>
      </c>
      <c r="G5" s="21" t="s">
        <v>33</v>
      </c>
      <c r="H5" s="21" t="s">
        <v>32</v>
      </c>
      <c r="I5" s="21" t="s">
        <v>33</v>
      </c>
      <c r="J5" s="18"/>
      <c r="K5" s="21" t="s">
        <v>71</v>
      </c>
      <c r="L5" s="21" t="s">
        <v>72</v>
      </c>
      <c r="M5" s="21" t="s">
        <v>73</v>
      </c>
      <c r="N5" s="21" t="s">
        <v>74</v>
      </c>
      <c r="O5" s="53"/>
    </row>
    <row r="6" spans="1:26">
      <c r="B6" s="24" t="s">
        <v>70</v>
      </c>
      <c r="C6" s="25">
        <v>1</v>
      </c>
      <c r="D6" s="25">
        <v>2</v>
      </c>
      <c r="E6" s="25"/>
      <c r="F6" s="25">
        <v>3</v>
      </c>
      <c r="G6" s="25">
        <v>4</v>
      </c>
      <c r="H6" s="25">
        <v>5</v>
      </c>
      <c r="I6" s="25">
        <v>6</v>
      </c>
      <c r="J6" s="25"/>
      <c r="K6" s="139">
        <f>IF(City=1,1,5)</f>
        <v>1</v>
      </c>
      <c r="L6" s="139">
        <f>IF(City=1,2,6)</f>
        <v>2</v>
      </c>
      <c r="M6" s="139">
        <f>IF(City=1,3,7)</f>
        <v>3</v>
      </c>
      <c r="N6" s="139">
        <f>IF(City=1,4,8)</f>
        <v>4</v>
      </c>
      <c r="O6" s="53"/>
      <c r="P6" s="95"/>
      <c r="Q6" s="96"/>
      <c r="R6" s="96"/>
      <c r="S6" s="96"/>
      <c r="T6" s="96"/>
      <c r="U6" s="96"/>
      <c r="V6" s="96"/>
      <c r="W6" s="96"/>
      <c r="X6" s="96"/>
      <c r="Y6" s="96"/>
      <c r="Z6" s="97"/>
    </row>
    <row r="7" spans="1:26">
      <c r="A7" t="s">
        <v>55</v>
      </c>
      <c r="B7" s="31" t="s">
        <v>37</v>
      </c>
      <c r="C7">
        <f>INDEX(Rate_Table,Tables!B$5,C$6)</f>
        <v>908.12</v>
      </c>
      <c r="D7">
        <f>INDEX(Rate_Table,Tables!B$5,D$6)</f>
        <v>5.41</v>
      </c>
      <c r="F7" s="23"/>
      <c r="G7" s="23"/>
      <c r="H7">
        <f>INDEX(Rate_Table,Tables!$B$5,H$6)</f>
        <v>0</v>
      </c>
      <c r="I7">
        <f>INDEX(Rate_Table,Tables!$B$5,I$6)</f>
        <v>0.52</v>
      </c>
      <c r="J7" s="26" t="str">
        <f t="shared" ref="J7:J18" si="0">IF(City=1,"NYC","West")</f>
        <v>NYC</v>
      </c>
      <c r="K7" s="395">
        <f>INDEX(MAC_Table,Tables!$B$24,K$6)</f>
        <v>377.13833333333338</v>
      </c>
      <c r="L7" s="394">
        <f>INDEX(MAC_Table,Tables!$B$24,L$6)</f>
        <v>1.7866666666666668</v>
      </c>
      <c r="M7" s="396"/>
      <c r="N7" s="394">
        <f>INDEX(MAC_Table,Tables!$B$24,N$6)</f>
        <v>0.17942500000000003</v>
      </c>
      <c r="O7" s="72"/>
      <c r="P7" s="132"/>
      <c r="Q7" s="5"/>
      <c r="R7" s="5"/>
      <c r="S7" s="5"/>
      <c r="T7" s="5"/>
      <c r="U7" s="5"/>
      <c r="V7" s="5"/>
      <c r="W7" s="5"/>
      <c r="X7" s="5"/>
      <c r="Y7" s="5"/>
      <c r="Z7" s="133"/>
    </row>
    <row r="8" spans="1:26">
      <c r="A8" t="s">
        <v>55</v>
      </c>
      <c r="B8" s="29" t="s">
        <v>38</v>
      </c>
      <c r="C8">
        <f>INDEX(Rate_Table,Tables!B$5,C$6)</f>
        <v>908.12</v>
      </c>
      <c r="D8">
        <f>INDEX(Rate_Table,Tables!B$5,D$6)</f>
        <v>5.41</v>
      </c>
      <c r="F8" s="23"/>
      <c r="G8" s="23"/>
      <c r="H8">
        <f>INDEX(Rate_Table,Tables!$B$5,H$6)</f>
        <v>0</v>
      </c>
      <c r="I8">
        <f>INDEX(Rate_Table,Tables!$B$5,I$6)</f>
        <v>0.52</v>
      </c>
      <c r="J8" s="26" t="str">
        <f t="shared" si="0"/>
        <v>NYC</v>
      </c>
      <c r="K8" s="395">
        <f>INDEX(MAC_Table,Tables!$B$24,K$6)</f>
        <v>377.13833333333338</v>
      </c>
      <c r="L8" s="394">
        <f>INDEX(MAC_Table,Tables!$B$24,L$6)</f>
        <v>1.7866666666666668</v>
      </c>
      <c r="M8" s="396"/>
      <c r="N8" s="394">
        <f>INDEX(MAC_Table,Tables!$B$24,N$6)</f>
        <v>0.17942500000000003</v>
      </c>
      <c r="O8" s="72"/>
      <c r="P8" s="132"/>
      <c r="Q8" s="134"/>
      <c r="R8" s="134"/>
      <c r="S8" s="5"/>
      <c r="T8" s="5"/>
      <c r="U8" s="5"/>
      <c r="V8" s="5"/>
      <c r="W8" s="5"/>
      <c r="X8" s="5"/>
      <c r="Y8" s="5"/>
      <c r="Z8" s="133"/>
    </row>
    <row r="9" spans="1:26">
      <c r="A9" t="s">
        <v>55</v>
      </c>
      <c r="B9" s="31" t="s">
        <v>39</v>
      </c>
      <c r="C9">
        <f>INDEX(Rate_Table,Tables!B$5,C$6)</f>
        <v>908.12</v>
      </c>
      <c r="D9">
        <f>INDEX(Rate_Table,Tables!B$5,D$6)</f>
        <v>5.41</v>
      </c>
      <c r="F9" s="23"/>
      <c r="G9" s="23"/>
      <c r="H9">
        <f>INDEX(Rate_Table,Tables!$B$5,H$6)</f>
        <v>0</v>
      </c>
      <c r="I9">
        <f>INDEX(Rate_Table,Tables!$B$5,I$6)</f>
        <v>0.52</v>
      </c>
      <c r="J9" s="26" t="str">
        <f t="shared" si="0"/>
        <v>NYC</v>
      </c>
      <c r="K9" s="395">
        <f>INDEX(MAC_Table,Tables!$B$24,K$6)</f>
        <v>377.13833333333338</v>
      </c>
      <c r="L9" s="394">
        <f>INDEX(MAC_Table,Tables!$B$24,L$6)</f>
        <v>1.7866666666666668</v>
      </c>
      <c r="M9" s="396"/>
      <c r="N9" s="394">
        <f>INDEX(MAC_Table,Tables!$B$24,N$6)</f>
        <v>0.17942500000000003</v>
      </c>
      <c r="O9" s="72"/>
      <c r="P9" s="132"/>
      <c r="Q9" s="134"/>
      <c r="R9" s="134"/>
      <c r="S9" s="5"/>
      <c r="T9" s="5"/>
      <c r="U9" s="5"/>
      <c r="V9" s="5"/>
      <c r="W9" s="5"/>
      <c r="X9" s="5"/>
      <c r="Y9" s="5"/>
      <c r="Z9" s="133"/>
    </row>
    <row r="10" spans="1:26">
      <c r="A10" t="s">
        <v>55</v>
      </c>
      <c r="B10" s="29" t="s">
        <v>40</v>
      </c>
      <c r="C10">
        <f>INDEX(Rate_Table,Tables!B$5,C$6)</f>
        <v>908.12</v>
      </c>
      <c r="D10">
        <f>INDEX(Rate_Table,Tables!B$5,D$6)</f>
        <v>5.41</v>
      </c>
      <c r="F10" s="23"/>
      <c r="G10" s="23"/>
      <c r="H10">
        <f>INDEX(Rate_Table,Tables!$B$5,H$6)</f>
        <v>0</v>
      </c>
      <c r="I10">
        <f>INDEX(Rate_Table,Tables!$B$5,I$6)</f>
        <v>0.52</v>
      </c>
      <c r="J10" s="26" t="str">
        <f t="shared" si="0"/>
        <v>NYC</v>
      </c>
      <c r="K10" s="395">
        <f>INDEX(MAC_Table,Tables!$B$24,K$6)</f>
        <v>377.13833333333338</v>
      </c>
      <c r="L10" s="394">
        <f>INDEX(MAC_Table,Tables!$B$24,L$6)</f>
        <v>1.7866666666666668</v>
      </c>
      <c r="M10" s="396"/>
      <c r="N10" s="394">
        <f>INDEX(MAC_Table,Tables!$B$24,N$6)</f>
        <v>0.17942500000000003</v>
      </c>
      <c r="O10" s="72"/>
      <c r="P10" s="132"/>
      <c r="R10" s="162" t="s">
        <v>160</v>
      </c>
      <c r="S10" s="5"/>
      <c r="T10" s="5"/>
      <c r="U10" s="5"/>
      <c r="V10" s="5"/>
      <c r="W10" s="5"/>
      <c r="X10" s="5"/>
      <c r="Y10" s="5"/>
      <c r="Z10" s="133"/>
    </row>
    <row r="11" spans="1:26">
      <c r="A11" t="s">
        <v>55</v>
      </c>
      <c r="B11" s="31" t="s">
        <v>7</v>
      </c>
      <c r="C11">
        <f>INDEX(Rate_Table,Tables!B$5,C$6)</f>
        <v>908.12</v>
      </c>
      <c r="D11">
        <f>INDEX(Rate_Table,Tables!B$5,D$6)</f>
        <v>5.41</v>
      </c>
      <c r="F11" s="23"/>
      <c r="G11" s="23"/>
      <c r="H11">
        <f>INDEX(Rate_Table,Tables!$B$5,H$6)</f>
        <v>0</v>
      </c>
      <c r="I11">
        <f>INDEX(Rate_Table,Tables!$B$5,I$6)</f>
        <v>0.52</v>
      </c>
      <c r="J11" s="26" t="str">
        <f t="shared" si="0"/>
        <v>NYC</v>
      </c>
      <c r="K11" s="395">
        <f>INDEX(MAC_Table,Tables!$B$24,K$6)</f>
        <v>377.13833333333338</v>
      </c>
      <c r="L11" s="394">
        <f>INDEX(MAC_Table,Tables!$B$24,L$6)</f>
        <v>1.7866666666666668</v>
      </c>
      <c r="M11" s="394">
        <f>INDEX(MAC_Table,Tables!$B$24,M$6)</f>
        <v>1.5783333333333333E-2</v>
      </c>
      <c r="N11" s="394">
        <f>INDEX(MAC_Table,Tables!$B$24,N$6)</f>
        <v>0.17942500000000003</v>
      </c>
      <c r="O11" s="72"/>
      <c r="P11" s="132"/>
      <c r="Q11" s="134"/>
      <c r="R11" s="134"/>
      <c r="S11" s="5"/>
      <c r="T11" s="5"/>
      <c r="U11" s="5"/>
      <c r="V11" s="5"/>
      <c r="W11" s="5"/>
      <c r="X11" s="5"/>
      <c r="Y11" s="5"/>
      <c r="Z11" s="133"/>
    </row>
    <row r="12" spans="1:26">
      <c r="A12" t="s">
        <v>56</v>
      </c>
      <c r="B12" s="29" t="s">
        <v>41</v>
      </c>
      <c r="C12">
        <f>INDEX(Rate_Table,Tables!B$5,C$6)</f>
        <v>908.12</v>
      </c>
      <c r="D12">
        <f>INDEX(Rate_Table,Tables!B$5,D$6)</f>
        <v>5.41</v>
      </c>
      <c r="F12">
        <f>INDEX(Rate_Table,Tables!$B$5,F$6)</f>
        <v>0.34229999999999999</v>
      </c>
      <c r="G12">
        <f>INDEX(Rate_Table,Tables!$B$5,G$6)</f>
        <v>0.69099999999999995</v>
      </c>
      <c r="H12" s="23"/>
      <c r="I12" s="23"/>
      <c r="J12" s="26" t="str">
        <f t="shared" si="0"/>
        <v>NYC</v>
      </c>
      <c r="K12" s="395">
        <f>INDEX(MAC_Table,Tables!$B$24,K$6)</f>
        <v>377.13833333333338</v>
      </c>
      <c r="L12" s="394">
        <f>INDEX(MAC_Table,Tables!$B$24,L$6)</f>
        <v>1.7866666666666668</v>
      </c>
      <c r="M12" s="394">
        <f>INDEX(MAC_Table,Tables!$B$24,M$6)</f>
        <v>1.5783333333333333E-2</v>
      </c>
      <c r="N12" s="394">
        <f>INDEX(MAC_Table,Tables!$B$24,N$6)</f>
        <v>0.17942500000000003</v>
      </c>
      <c r="O12" s="72"/>
      <c r="P12" s="132"/>
      <c r="Q12" s="134"/>
      <c r="R12" s="134"/>
      <c r="S12" s="5"/>
      <c r="T12" s="5"/>
      <c r="U12" s="5"/>
      <c r="V12" s="5"/>
      <c r="W12" s="5"/>
      <c r="X12" s="5"/>
      <c r="Y12" s="5"/>
      <c r="Z12" s="133"/>
    </row>
    <row r="13" spans="1:26">
      <c r="A13" t="s">
        <v>56</v>
      </c>
      <c r="B13" s="31" t="s">
        <v>42</v>
      </c>
      <c r="C13">
        <f>INDEX(Rate_Table,Tables!B$5,C$6)</f>
        <v>908.12</v>
      </c>
      <c r="D13">
        <f>INDEX(Rate_Table,Tables!B$5,D$6)</f>
        <v>5.41</v>
      </c>
      <c r="F13">
        <f>INDEX(Rate_Table,Tables!$B$5,F$6)</f>
        <v>0.34229999999999999</v>
      </c>
      <c r="G13">
        <f>INDEX(Rate_Table,Tables!$B$5,G$6)</f>
        <v>0.69099999999999995</v>
      </c>
      <c r="H13" s="23"/>
      <c r="I13" s="23"/>
      <c r="J13" s="26" t="str">
        <f t="shared" si="0"/>
        <v>NYC</v>
      </c>
      <c r="K13" s="395">
        <f>INDEX(MAC_Table,Tables!$B$24,K$6)</f>
        <v>377.13833333333338</v>
      </c>
      <c r="L13" s="394">
        <f>INDEX(MAC_Table,Tables!$B$24,L$6)</f>
        <v>1.7866666666666668</v>
      </c>
      <c r="M13" s="394">
        <f>INDEX(MAC_Table,Tables!$B$24,M$6)</f>
        <v>1.5783333333333333E-2</v>
      </c>
      <c r="N13" s="394">
        <f>INDEX(MAC_Table,Tables!$B$24,N$6)</f>
        <v>0.17942500000000003</v>
      </c>
      <c r="O13" s="72"/>
      <c r="P13" s="132"/>
      <c r="Q13" s="134"/>
      <c r="R13" s="134"/>
      <c r="S13" s="5"/>
      <c r="T13" s="5"/>
      <c r="U13" s="5"/>
      <c r="V13" s="5"/>
      <c r="W13" s="5"/>
      <c r="X13" s="5"/>
      <c r="Y13" s="5"/>
      <c r="Z13" s="133"/>
    </row>
    <row r="14" spans="1:26">
      <c r="A14" t="s">
        <v>56</v>
      </c>
      <c r="B14" s="29" t="s">
        <v>43</v>
      </c>
      <c r="C14">
        <f>INDEX(Rate_Table,Tables!B$5,C$6)</f>
        <v>908.12</v>
      </c>
      <c r="D14">
        <f>INDEX(Rate_Table,Tables!B$5,D$6)</f>
        <v>5.41</v>
      </c>
      <c r="F14">
        <f>INDEX(Rate_Table,Tables!$B$5,F$6)</f>
        <v>0.34229999999999999</v>
      </c>
      <c r="G14">
        <f>INDEX(Rate_Table,Tables!$B$5,G$6)</f>
        <v>0.69099999999999995</v>
      </c>
      <c r="H14" s="23"/>
      <c r="I14" s="23"/>
      <c r="J14" s="26" t="str">
        <f t="shared" si="0"/>
        <v>NYC</v>
      </c>
      <c r="K14" s="395">
        <f>INDEX(MAC_Table,Tables!$B$24,K$6)</f>
        <v>377.13833333333338</v>
      </c>
      <c r="L14" s="394">
        <f>INDEX(MAC_Table,Tables!$B$24,L$6)</f>
        <v>1.7866666666666668</v>
      </c>
      <c r="M14" s="394">
        <f>INDEX(MAC_Table,Tables!$B$24,M$6)</f>
        <v>1.5783333333333333E-2</v>
      </c>
      <c r="N14" s="394">
        <f>INDEX(MAC_Table,Tables!$B$24,N$6)</f>
        <v>0.17942500000000003</v>
      </c>
      <c r="O14" s="72"/>
      <c r="P14" s="132"/>
      <c r="Q14" s="134"/>
      <c r="R14" s="134"/>
      <c r="S14" s="5"/>
      <c r="T14" s="5"/>
      <c r="U14" s="5"/>
      <c r="V14" s="5"/>
      <c r="W14" s="5"/>
      <c r="X14" s="5"/>
      <c r="Y14" s="5"/>
      <c r="Z14" s="133"/>
    </row>
    <row r="15" spans="1:26">
      <c r="A15" t="s">
        <v>56</v>
      </c>
      <c r="B15" s="31" t="s">
        <v>44</v>
      </c>
      <c r="C15">
        <f>INDEX(Rate_Table,Tables!B$5,C$6)</f>
        <v>908.12</v>
      </c>
      <c r="D15">
        <f>INDEX(Rate_Table,Tables!B$5,D$6)</f>
        <v>5.41</v>
      </c>
      <c r="F15">
        <f>INDEX(Rate_Table,Tables!$B$5,F$6)</f>
        <v>0.34229999999999999</v>
      </c>
      <c r="G15">
        <f>INDEX(Rate_Table,Tables!$B$5,G$6)</f>
        <v>0.69099999999999995</v>
      </c>
      <c r="H15" s="23"/>
      <c r="I15" s="23"/>
      <c r="J15" s="26" t="str">
        <f t="shared" si="0"/>
        <v>NYC</v>
      </c>
      <c r="K15" s="395">
        <f>INDEX(MAC_Table,Tables!$B$24,K$6)</f>
        <v>377.13833333333338</v>
      </c>
      <c r="L15" s="394">
        <f>INDEX(MAC_Table,Tables!$B$24,L$6)</f>
        <v>1.7866666666666668</v>
      </c>
      <c r="M15" s="394">
        <f>INDEX(MAC_Table,Tables!$B$24,M$6)</f>
        <v>1.5783333333333333E-2</v>
      </c>
      <c r="N15" s="394">
        <f>INDEX(MAC_Table,Tables!$B$24,N$6)</f>
        <v>0.17942500000000003</v>
      </c>
      <c r="O15" s="72"/>
      <c r="P15" s="132"/>
      <c r="Q15" s="134"/>
      <c r="R15" s="134"/>
      <c r="S15" s="5"/>
      <c r="T15" s="5"/>
      <c r="U15" s="5"/>
      <c r="V15" s="5"/>
      <c r="W15" s="5"/>
      <c r="X15" s="5"/>
      <c r="Y15" s="5"/>
      <c r="Z15" s="133"/>
    </row>
    <row r="16" spans="1:26">
      <c r="A16" t="s">
        <v>55</v>
      </c>
      <c r="B16" s="29" t="s">
        <v>45</v>
      </c>
      <c r="C16">
        <f>INDEX(Rate_Table,Tables!B$5,C$6)</f>
        <v>908.12</v>
      </c>
      <c r="D16">
        <f>INDEX(Rate_Table,Tables!B$5,D$6)</f>
        <v>5.41</v>
      </c>
      <c r="F16" s="23"/>
      <c r="G16" s="23"/>
      <c r="H16">
        <f>INDEX(Rate_Table,Tables!$B$5,H$6)</f>
        <v>0</v>
      </c>
      <c r="I16">
        <f>INDEX(Rate_Table,Tables!$B$5,I$6)</f>
        <v>0.52</v>
      </c>
      <c r="J16" s="26" t="str">
        <f t="shared" si="0"/>
        <v>NYC</v>
      </c>
      <c r="K16" s="395">
        <f>INDEX(MAC_Table,Tables!$B$24,K$6)</f>
        <v>377.13833333333338</v>
      </c>
      <c r="L16" s="394">
        <f>INDEX(MAC_Table,Tables!$B$24,L$6)</f>
        <v>1.7866666666666668</v>
      </c>
      <c r="M16" s="394">
        <f>INDEX(MAC_Table,Tables!$B$24,M$6)</f>
        <v>1.5783333333333333E-2</v>
      </c>
      <c r="N16" s="394">
        <f>INDEX(MAC_Table,Tables!$B$24,N$6)</f>
        <v>0.17942500000000003</v>
      </c>
      <c r="O16" s="72"/>
      <c r="P16" s="132"/>
      <c r="Q16" s="134"/>
      <c r="R16" s="134"/>
      <c r="S16" s="5"/>
      <c r="T16" s="5"/>
      <c r="U16" s="5"/>
      <c r="V16" s="5"/>
      <c r="W16" s="5"/>
      <c r="X16" s="5"/>
      <c r="Y16" s="5"/>
      <c r="Z16" s="133"/>
    </row>
    <row r="17" spans="1:28">
      <c r="A17" t="s">
        <v>55</v>
      </c>
      <c r="B17" s="31" t="s">
        <v>46</v>
      </c>
      <c r="C17">
        <f>INDEX(Rate_Table,Tables!B$5,C$6)</f>
        <v>908.12</v>
      </c>
      <c r="D17">
        <f>INDEX(Rate_Table,Tables!B$5,D$6)</f>
        <v>5.41</v>
      </c>
      <c r="F17" s="23"/>
      <c r="G17" s="23"/>
      <c r="H17">
        <f>INDEX(Rate_Table,Tables!$B$5,H$6)</f>
        <v>0</v>
      </c>
      <c r="I17">
        <f>INDEX(Rate_Table,Tables!$B$5,I$6)</f>
        <v>0.52</v>
      </c>
      <c r="J17" s="26" t="str">
        <f t="shared" si="0"/>
        <v>NYC</v>
      </c>
      <c r="K17" s="395">
        <f>INDEX(MAC_Table,Tables!$B$24,K$6)</f>
        <v>377.13833333333338</v>
      </c>
      <c r="L17" s="394">
        <f>INDEX(MAC_Table,Tables!$B$24,L$6)</f>
        <v>1.7866666666666668</v>
      </c>
      <c r="M17" s="396"/>
      <c r="N17" s="394">
        <f>INDEX(MAC_Table,Tables!$B$24,N$6)</f>
        <v>0.17942500000000003</v>
      </c>
      <c r="O17" s="72"/>
      <c r="P17" s="132"/>
      <c r="Q17" s="134"/>
      <c r="R17" s="134"/>
      <c r="S17" s="5"/>
      <c r="T17" s="5"/>
      <c r="U17" s="5"/>
      <c r="V17" s="5"/>
      <c r="W17" s="5"/>
      <c r="X17" s="5"/>
      <c r="Y17" s="5"/>
      <c r="Z17" s="133"/>
    </row>
    <row r="18" spans="1:28">
      <c r="A18" t="s">
        <v>55</v>
      </c>
      <c r="B18" s="29" t="s">
        <v>47</v>
      </c>
      <c r="C18">
        <f>INDEX(Rate_Table,Tables!B$5,C$6)</f>
        <v>908.12</v>
      </c>
      <c r="D18">
        <f>INDEX(Rate_Table,Tables!B$5,D$6)</f>
        <v>5.41</v>
      </c>
      <c r="F18" s="23"/>
      <c r="G18" s="23"/>
      <c r="H18">
        <f>INDEX(Rate_Table,Tables!$B$5,H$6)</f>
        <v>0</v>
      </c>
      <c r="I18">
        <f>INDEX(Rate_Table,Tables!$B$5,I$6)</f>
        <v>0.52</v>
      </c>
      <c r="J18" s="26" t="str">
        <f t="shared" si="0"/>
        <v>NYC</v>
      </c>
      <c r="K18" s="395">
        <f>INDEX(MAC_Table,Tables!$B$24,K$6)</f>
        <v>377.13833333333338</v>
      </c>
      <c r="L18" s="394">
        <f>INDEX(MAC_Table,Tables!$B$24,L$6)</f>
        <v>1.7866666666666668</v>
      </c>
      <c r="M18" s="396"/>
      <c r="N18" s="394">
        <f>INDEX(MAC_Table,Tables!$B$24,N$6)</f>
        <v>0.17942500000000003</v>
      </c>
      <c r="O18" s="72"/>
      <c r="P18" s="90"/>
      <c r="Q18" s="135"/>
      <c r="R18" s="135"/>
      <c r="S18" s="98"/>
      <c r="T18" s="98"/>
      <c r="U18" s="98"/>
      <c r="V18" s="98"/>
      <c r="W18" s="98"/>
      <c r="X18" s="98"/>
      <c r="Y18" s="98"/>
      <c r="Z18" s="91"/>
    </row>
    <row r="19" spans="1:28">
      <c r="Q19" s="128"/>
      <c r="R19" s="128"/>
    </row>
    <row r="20" spans="1:28">
      <c r="Q20" s="128"/>
      <c r="R20" s="128"/>
    </row>
    <row r="21" spans="1:28" ht="13">
      <c r="E21" s="21" t="s">
        <v>62</v>
      </c>
      <c r="F21" s="493" t="s">
        <v>27</v>
      </c>
      <c r="G21" s="493"/>
      <c r="H21" s="493" t="s">
        <v>28</v>
      </c>
      <c r="I21" s="493"/>
      <c r="P21" s="13" t="s">
        <v>167</v>
      </c>
      <c r="Q21" s="128"/>
      <c r="R21" s="128"/>
      <c r="W21" s="13" t="s">
        <v>168</v>
      </c>
      <c r="X21" s="128"/>
      <c r="Y21" s="128"/>
    </row>
    <row r="22" spans="1:28" ht="13">
      <c r="B22" s="13" t="s">
        <v>36</v>
      </c>
      <c r="C22" t="s">
        <v>30</v>
      </c>
      <c r="D22" t="s">
        <v>31</v>
      </c>
      <c r="E22" s="21" t="s">
        <v>0</v>
      </c>
      <c r="F22" s="21" t="s">
        <v>32</v>
      </c>
      <c r="G22" s="21" t="s">
        <v>33</v>
      </c>
      <c r="H22" s="21" t="s">
        <v>32</v>
      </c>
      <c r="I22" s="21" t="s">
        <v>33</v>
      </c>
      <c r="J22" s="21" t="s">
        <v>76</v>
      </c>
      <c r="K22" s="21" t="s">
        <v>71</v>
      </c>
      <c r="L22" s="21" t="s">
        <v>72</v>
      </c>
      <c r="M22" s="21" t="s">
        <v>73</v>
      </c>
      <c r="N22" s="21" t="s">
        <v>74</v>
      </c>
      <c r="O22" s="53"/>
      <c r="P22" s="21" t="s">
        <v>32</v>
      </c>
      <c r="Q22" s="21" t="s">
        <v>33</v>
      </c>
      <c r="R22" s="21" t="s">
        <v>32</v>
      </c>
      <c r="S22" s="21" t="s">
        <v>33</v>
      </c>
      <c r="T22" s="21" t="s">
        <v>73</v>
      </c>
      <c r="U22" s="21" t="s">
        <v>74</v>
      </c>
      <c r="W22" s="21" t="s">
        <v>32</v>
      </c>
      <c r="X22" s="21" t="s">
        <v>33</v>
      </c>
      <c r="Y22" s="21" t="s">
        <v>32</v>
      </c>
      <c r="Z22" s="21" t="s">
        <v>33</v>
      </c>
      <c r="AA22" s="21" t="s">
        <v>73</v>
      </c>
      <c r="AB22" s="21" t="s">
        <v>74</v>
      </c>
    </row>
    <row r="23" spans="1:28">
      <c r="A23" s="187">
        <f>Demand_Factor</f>
        <v>0</v>
      </c>
      <c r="B23" s="14" t="s">
        <v>374</v>
      </c>
    </row>
    <row r="24" spans="1:28">
      <c r="A24" t="s">
        <v>55</v>
      </c>
      <c r="B24" s="31" t="s">
        <v>37</v>
      </c>
      <c r="C24">
        <v>1</v>
      </c>
      <c r="D24">
        <f t="shared" ref="D24:D35" si="1">CD_level</f>
        <v>500</v>
      </c>
      <c r="F24" s="23"/>
      <c r="G24" s="23"/>
      <c r="H24" s="18">
        <f>'Inputs &amp; Outputs'!$F11*Demand_Factor</f>
        <v>0</v>
      </c>
      <c r="I24" s="18">
        <f>'Inputs &amp; Outputs'!$G11*Demand_Factor</f>
        <v>0</v>
      </c>
      <c r="K24" s="18">
        <f>C24</f>
        <v>1</v>
      </c>
      <c r="L24" s="18">
        <f>D24</f>
        <v>500</v>
      </c>
      <c r="M24" s="396">
        <f t="shared" ref="M24:M35" si="2">IF(F24 = 0,H24,F24)</f>
        <v>0</v>
      </c>
      <c r="N24" s="18">
        <f>IF(G24 = 0,I24,G24)</f>
        <v>0</v>
      </c>
      <c r="O24" s="78"/>
      <c r="P24" s="23"/>
      <c r="Q24" s="23"/>
      <c r="R24" s="18">
        <f t="shared" ref="R24:S28" si="3">H24</f>
        <v>0</v>
      </c>
      <c r="S24" s="18">
        <f t="shared" si="3"/>
        <v>0</v>
      </c>
      <c r="T24" s="18">
        <f>M24</f>
        <v>0</v>
      </c>
      <c r="U24" s="18">
        <f>N24</f>
        <v>0</v>
      </c>
      <c r="W24" s="23"/>
      <c r="X24" s="23"/>
      <c r="Y24" s="18">
        <f>'Inputs &amp; Outputs'!$F11</f>
        <v>470</v>
      </c>
      <c r="Z24" s="18">
        <f>'Inputs &amp; Outputs'!$G11</f>
        <v>470</v>
      </c>
      <c r="AA24" s="18">
        <f>'Inputs &amp; Outputs'!$F11</f>
        <v>470</v>
      </c>
      <c r="AB24" s="18">
        <f>'Inputs &amp; Outputs'!$G11</f>
        <v>470</v>
      </c>
    </row>
    <row r="25" spans="1:28">
      <c r="A25" t="s">
        <v>55</v>
      </c>
      <c r="B25" s="29" t="s">
        <v>38</v>
      </c>
      <c r="C25">
        <v>1</v>
      </c>
      <c r="D25">
        <f t="shared" si="1"/>
        <v>500</v>
      </c>
      <c r="F25" s="23"/>
      <c r="G25" s="23"/>
      <c r="H25" s="18">
        <f>'Inputs &amp; Outputs'!$F12*Demand_Factor</f>
        <v>0</v>
      </c>
      <c r="I25" s="18">
        <f>'Inputs &amp; Outputs'!$G12*Demand_Factor</f>
        <v>0</v>
      </c>
      <c r="K25" s="18">
        <f t="shared" ref="K25:K51" si="4">C25</f>
        <v>1</v>
      </c>
      <c r="L25" s="18">
        <f t="shared" ref="L25:L35" si="5">D25</f>
        <v>500</v>
      </c>
      <c r="M25" s="396">
        <f t="shared" si="2"/>
        <v>0</v>
      </c>
      <c r="N25" s="18">
        <f t="shared" ref="N25:N35" si="6">IF(G25 = 0,I25,G25)</f>
        <v>0</v>
      </c>
      <c r="O25" s="78"/>
      <c r="P25" s="23"/>
      <c r="Q25" s="23"/>
      <c r="R25" s="18">
        <f t="shared" si="3"/>
        <v>0</v>
      </c>
      <c r="S25" s="18">
        <f t="shared" si="3"/>
        <v>0</v>
      </c>
      <c r="T25" s="18">
        <f t="shared" ref="T25:T35" si="7">M25</f>
        <v>0</v>
      </c>
      <c r="U25" s="18">
        <f t="shared" ref="U25:U35" si="8">N25</f>
        <v>0</v>
      </c>
      <c r="W25" s="23"/>
      <c r="X25" s="23"/>
      <c r="Y25" s="18">
        <f>'Inputs &amp; Outputs'!$F12</f>
        <v>470</v>
      </c>
      <c r="Z25" s="18">
        <f>'Inputs &amp; Outputs'!$G12</f>
        <v>470</v>
      </c>
      <c r="AA25" s="18">
        <f>'Inputs &amp; Outputs'!$F12</f>
        <v>470</v>
      </c>
      <c r="AB25" s="18">
        <f>'Inputs &amp; Outputs'!$G12</f>
        <v>470</v>
      </c>
    </row>
    <row r="26" spans="1:28">
      <c r="A26" t="s">
        <v>55</v>
      </c>
      <c r="B26" s="31" t="s">
        <v>39</v>
      </c>
      <c r="C26">
        <v>1</v>
      </c>
      <c r="D26">
        <f t="shared" si="1"/>
        <v>500</v>
      </c>
      <c r="F26" s="23"/>
      <c r="G26" s="23"/>
      <c r="H26" s="18">
        <f>'Inputs &amp; Outputs'!$F13*Demand_Factor</f>
        <v>0</v>
      </c>
      <c r="I26" s="18">
        <f>'Inputs &amp; Outputs'!$G13*Demand_Factor</f>
        <v>0</v>
      </c>
      <c r="K26" s="18">
        <f t="shared" si="4"/>
        <v>1</v>
      </c>
      <c r="L26" s="18">
        <f t="shared" si="5"/>
        <v>500</v>
      </c>
      <c r="M26" s="396">
        <f t="shared" si="2"/>
        <v>0</v>
      </c>
      <c r="N26" s="18">
        <f t="shared" si="6"/>
        <v>0</v>
      </c>
      <c r="O26" s="78"/>
      <c r="P26" s="23"/>
      <c r="Q26" s="23"/>
      <c r="R26" s="18">
        <f t="shared" si="3"/>
        <v>0</v>
      </c>
      <c r="S26" s="18">
        <f t="shared" si="3"/>
        <v>0</v>
      </c>
      <c r="T26" s="18">
        <f t="shared" si="7"/>
        <v>0</v>
      </c>
      <c r="U26" s="18">
        <f t="shared" si="8"/>
        <v>0</v>
      </c>
      <c r="W26" s="23"/>
      <c r="X26" s="23"/>
      <c r="Y26" s="18">
        <f>'Inputs &amp; Outputs'!$F13</f>
        <v>470</v>
      </c>
      <c r="Z26" s="18">
        <f>'Inputs &amp; Outputs'!$G13</f>
        <v>470</v>
      </c>
      <c r="AA26" s="18">
        <f>'Inputs &amp; Outputs'!$F13</f>
        <v>470</v>
      </c>
      <c r="AB26" s="18">
        <f>'Inputs &amp; Outputs'!$G13</f>
        <v>470</v>
      </c>
    </row>
    <row r="27" spans="1:28">
      <c r="A27" t="s">
        <v>55</v>
      </c>
      <c r="B27" s="29" t="s">
        <v>40</v>
      </c>
      <c r="C27">
        <v>1</v>
      </c>
      <c r="D27">
        <f t="shared" si="1"/>
        <v>500</v>
      </c>
      <c r="F27" s="23"/>
      <c r="G27" s="23"/>
      <c r="H27" s="18">
        <f>'Inputs &amp; Outputs'!$F14*Demand_Factor</f>
        <v>0</v>
      </c>
      <c r="I27" s="18">
        <f>'Inputs &amp; Outputs'!$G14*Demand_Factor</f>
        <v>0</v>
      </c>
      <c r="K27" s="18">
        <f t="shared" si="4"/>
        <v>1</v>
      </c>
      <c r="L27" s="18">
        <f t="shared" si="5"/>
        <v>500</v>
      </c>
      <c r="M27" s="396">
        <f t="shared" si="2"/>
        <v>0</v>
      </c>
      <c r="N27" s="18">
        <f t="shared" si="6"/>
        <v>0</v>
      </c>
      <c r="O27" s="78"/>
      <c r="P27" s="23"/>
      <c r="Q27" s="23"/>
      <c r="R27" s="18">
        <f t="shared" si="3"/>
        <v>0</v>
      </c>
      <c r="S27" s="18">
        <f t="shared" si="3"/>
        <v>0</v>
      </c>
      <c r="T27" s="18">
        <f t="shared" si="7"/>
        <v>0</v>
      </c>
      <c r="U27" s="18">
        <f t="shared" si="8"/>
        <v>0</v>
      </c>
      <c r="W27" s="23"/>
      <c r="X27" s="23"/>
      <c r="Y27" s="18">
        <f>'Inputs &amp; Outputs'!$F14</f>
        <v>460</v>
      </c>
      <c r="Z27" s="18">
        <f>'Inputs &amp; Outputs'!$G14</f>
        <v>460</v>
      </c>
      <c r="AA27" s="18">
        <f>'Inputs &amp; Outputs'!$F14</f>
        <v>460</v>
      </c>
      <c r="AB27" s="18">
        <f>'Inputs &amp; Outputs'!$G14</f>
        <v>460</v>
      </c>
    </row>
    <row r="28" spans="1:28">
      <c r="A28" t="s">
        <v>55</v>
      </c>
      <c r="B28" s="31" t="s">
        <v>7</v>
      </c>
      <c r="C28">
        <v>1</v>
      </c>
      <c r="D28">
        <f t="shared" si="1"/>
        <v>500</v>
      </c>
      <c r="F28" s="23"/>
      <c r="G28" s="23"/>
      <c r="H28" s="18">
        <f>'Inputs &amp; Outputs'!$F15*Demand_Factor</f>
        <v>0</v>
      </c>
      <c r="I28" s="18">
        <f>'Inputs &amp; Outputs'!$G15*Demand_Factor</f>
        <v>0</v>
      </c>
      <c r="K28" s="18">
        <f t="shared" si="4"/>
        <v>1</v>
      </c>
      <c r="L28" s="18">
        <f t="shared" si="5"/>
        <v>500</v>
      </c>
      <c r="M28" s="78">
        <f t="shared" si="2"/>
        <v>0</v>
      </c>
      <c r="N28" s="18">
        <f t="shared" si="6"/>
        <v>0</v>
      </c>
      <c r="O28" s="78"/>
      <c r="P28" s="23"/>
      <c r="Q28" s="23"/>
      <c r="R28" s="18">
        <f t="shared" si="3"/>
        <v>0</v>
      </c>
      <c r="S28" s="18">
        <f t="shared" si="3"/>
        <v>0</v>
      </c>
      <c r="T28" s="18">
        <f t="shared" si="7"/>
        <v>0</v>
      </c>
      <c r="U28" s="18">
        <f t="shared" si="8"/>
        <v>0</v>
      </c>
      <c r="W28" s="23"/>
      <c r="X28" s="23"/>
      <c r="Y28" s="18">
        <f>'Inputs &amp; Outputs'!$F15</f>
        <v>500</v>
      </c>
      <c r="Z28" s="18">
        <f>'Inputs &amp; Outputs'!$G15</f>
        <v>500</v>
      </c>
      <c r="AA28" s="18">
        <f>'Inputs &amp; Outputs'!$F15</f>
        <v>500</v>
      </c>
      <c r="AB28" s="18">
        <f>'Inputs &amp; Outputs'!$G15</f>
        <v>500</v>
      </c>
    </row>
    <row r="29" spans="1:28">
      <c r="A29" t="s">
        <v>56</v>
      </c>
      <c r="B29" s="29" t="s">
        <v>41</v>
      </c>
      <c r="C29">
        <v>1</v>
      </c>
      <c r="D29">
        <f t="shared" si="1"/>
        <v>500</v>
      </c>
      <c r="F29" s="18">
        <f>'Inputs &amp; Outputs'!$F16*Demand_Factor</f>
        <v>0</v>
      </c>
      <c r="G29" s="18">
        <f>'Inputs &amp; Outputs'!$G16*Demand_Factor</f>
        <v>0</v>
      </c>
      <c r="H29" s="23"/>
      <c r="I29" s="23"/>
      <c r="K29" s="18">
        <f t="shared" si="4"/>
        <v>1</v>
      </c>
      <c r="L29" s="18">
        <f t="shared" si="5"/>
        <v>500</v>
      </c>
      <c r="M29" s="78">
        <f t="shared" si="2"/>
        <v>0</v>
      </c>
      <c r="N29" s="18">
        <f t="shared" si="6"/>
        <v>0</v>
      </c>
      <c r="O29" s="78"/>
      <c r="P29" s="18">
        <f t="shared" ref="P29:Q32" si="9">F29</f>
        <v>0</v>
      </c>
      <c r="Q29" s="18">
        <f t="shared" si="9"/>
        <v>0</v>
      </c>
      <c r="R29" s="23"/>
      <c r="S29" s="23"/>
      <c r="T29" s="18">
        <f t="shared" si="7"/>
        <v>0</v>
      </c>
      <c r="U29" s="18">
        <f t="shared" si="8"/>
        <v>0</v>
      </c>
      <c r="W29" s="18">
        <f>'Inputs &amp; Outputs'!$F16</f>
        <v>501</v>
      </c>
      <c r="X29" s="18">
        <f>'Inputs &amp; Outputs'!$F16</f>
        <v>501</v>
      </c>
      <c r="Y29" s="23"/>
      <c r="Z29" s="23"/>
      <c r="AA29" s="18">
        <f>'Inputs &amp; Outputs'!$F16</f>
        <v>501</v>
      </c>
      <c r="AB29" s="18">
        <f>'Inputs &amp; Outputs'!$G16</f>
        <v>501</v>
      </c>
    </row>
    <row r="30" spans="1:28">
      <c r="A30" t="s">
        <v>56</v>
      </c>
      <c r="B30" s="31" t="s">
        <v>42</v>
      </c>
      <c r="C30">
        <v>1</v>
      </c>
      <c r="D30">
        <f t="shared" si="1"/>
        <v>500</v>
      </c>
      <c r="F30" s="18">
        <f>'Inputs &amp; Outputs'!$F17*Demand_Factor</f>
        <v>0</v>
      </c>
      <c r="G30" s="18">
        <f>'Inputs &amp; Outputs'!$G17*Demand_Factor</f>
        <v>0</v>
      </c>
      <c r="H30" s="23"/>
      <c r="I30" s="23"/>
      <c r="K30" s="18">
        <f t="shared" si="4"/>
        <v>1</v>
      </c>
      <c r="L30" s="18">
        <f t="shared" si="5"/>
        <v>500</v>
      </c>
      <c r="M30" s="78">
        <f t="shared" si="2"/>
        <v>0</v>
      </c>
      <c r="N30" s="18">
        <f t="shared" si="6"/>
        <v>0</v>
      </c>
      <c r="O30" s="78"/>
      <c r="P30" s="18">
        <f t="shared" si="9"/>
        <v>0</v>
      </c>
      <c r="Q30" s="18">
        <f t="shared" si="9"/>
        <v>0</v>
      </c>
      <c r="R30" s="23"/>
      <c r="S30" s="23"/>
      <c r="T30" s="18">
        <f t="shared" si="7"/>
        <v>0</v>
      </c>
      <c r="U30" s="18">
        <f t="shared" si="8"/>
        <v>0</v>
      </c>
      <c r="W30" s="18">
        <f>'Inputs &amp; Outputs'!$F17</f>
        <v>1001</v>
      </c>
      <c r="X30" s="18">
        <f>'Inputs &amp; Outputs'!$F17</f>
        <v>1001</v>
      </c>
      <c r="Y30" s="23"/>
      <c r="Z30" s="23"/>
      <c r="AA30" s="18">
        <f>'Inputs &amp; Outputs'!$F17</f>
        <v>1001</v>
      </c>
      <c r="AB30" s="18">
        <f>'Inputs &amp; Outputs'!$G17</f>
        <v>1001</v>
      </c>
    </row>
    <row r="31" spans="1:28">
      <c r="A31" t="s">
        <v>56</v>
      </c>
      <c r="B31" s="29" t="s">
        <v>43</v>
      </c>
      <c r="C31">
        <v>1</v>
      </c>
      <c r="D31">
        <f t="shared" si="1"/>
        <v>500</v>
      </c>
      <c r="F31" s="18">
        <f>'Inputs &amp; Outputs'!$F18*Demand_Factor</f>
        <v>0</v>
      </c>
      <c r="G31" s="18">
        <f>'Inputs &amp; Outputs'!$G18*Demand_Factor</f>
        <v>0</v>
      </c>
      <c r="H31" s="23"/>
      <c r="I31" s="23"/>
      <c r="K31" s="18">
        <f t="shared" si="4"/>
        <v>1</v>
      </c>
      <c r="L31" s="18">
        <f t="shared" si="5"/>
        <v>500</v>
      </c>
      <c r="M31" s="78">
        <f t="shared" si="2"/>
        <v>0</v>
      </c>
      <c r="N31" s="18">
        <f t="shared" si="6"/>
        <v>0</v>
      </c>
      <c r="O31" s="78"/>
      <c r="P31" s="18">
        <f t="shared" si="9"/>
        <v>0</v>
      </c>
      <c r="Q31" s="18">
        <f t="shared" si="9"/>
        <v>0</v>
      </c>
      <c r="R31" s="23"/>
      <c r="S31" s="23"/>
      <c r="T31" s="18">
        <f t="shared" si="7"/>
        <v>0</v>
      </c>
      <c r="U31" s="18">
        <f t="shared" si="8"/>
        <v>0</v>
      </c>
      <c r="W31" s="18">
        <f>'Inputs &amp; Outputs'!$F18</f>
        <v>500</v>
      </c>
      <c r="X31" s="18">
        <f>'Inputs &amp; Outputs'!$F18</f>
        <v>500</v>
      </c>
      <c r="Y31" s="23"/>
      <c r="Z31" s="23"/>
      <c r="AA31" s="18">
        <f>'Inputs &amp; Outputs'!$F18</f>
        <v>500</v>
      </c>
      <c r="AB31" s="18">
        <f>'Inputs &amp; Outputs'!$G18</f>
        <v>500</v>
      </c>
    </row>
    <row r="32" spans="1:28">
      <c r="A32" t="s">
        <v>56</v>
      </c>
      <c r="B32" s="31" t="s">
        <v>44</v>
      </c>
      <c r="C32">
        <v>1</v>
      </c>
      <c r="D32">
        <f t="shared" si="1"/>
        <v>500</v>
      </c>
      <c r="F32" s="18">
        <f>'Inputs &amp; Outputs'!$F19*Demand_Factor</f>
        <v>0</v>
      </c>
      <c r="G32" s="18">
        <f>'Inputs &amp; Outputs'!$G19*Demand_Factor</f>
        <v>0</v>
      </c>
      <c r="H32" s="23"/>
      <c r="I32" s="23"/>
      <c r="K32" s="18">
        <f t="shared" si="4"/>
        <v>1</v>
      </c>
      <c r="L32" s="18">
        <f t="shared" si="5"/>
        <v>500</v>
      </c>
      <c r="M32" s="78">
        <f t="shared" si="2"/>
        <v>0</v>
      </c>
      <c r="N32" s="18">
        <f t="shared" si="6"/>
        <v>0</v>
      </c>
      <c r="O32" s="78"/>
      <c r="P32" s="18">
        <f t="shared" si="9"/>
        <v>0</v>
      </c>
      <c r="Q32" s="18">
        <f t="shared" si="9"/>
        <v>0</v>
      </c>
      <c r="R32" s="23"/>
      <c r="S32" s="23"/>
      <c r="T32" s="18">
        <f t="shared" si="7"/>
        <v>0</v>
      </c>
      <c r="U32" s="18">
        <f t="shared" si="8"/>
        <v>0</v>
      </c>
      <c r="W32" s="18">
        <f>'Inputs &amp; Outputs'!$F19</f>
        <v>500</v>
      </c>
      <c r="X32" s="18">
        <f>'Inputs &amp; Outputs'!$F19</f>
        <v>500</v>
      </c>
      <c r="Y32" s="23"/>
      <c r="Z32" s="23"/>
      <c r="AA32" s="18">
        <f>'Inputs &amp; Outputs'!$F19</f>
        <v>500</v>
      </c>
      <c r="AB32" s="18">
        <f>'Inputs &amp; Outputs'!$G19</f>
        <v>500</v>
      </c>
    </row>
    <row r="33" spans="1:28">
      <c r="A33" t="s">
        <v>55</v>
      </c>
      <c r="B33" s="29" t="s">
        <v>45</v>
      </c>
      <c r="C33">
        <v>1</v>
      </c>
      <c r="D33">
        <f t="shared" si="1"/>
        <v>500</v>
      </c>
      <c r="F33" s="23"/>
      <c r="G33" s="23"/>
      <c r="H33" s="18">
        <f>'Inputs &amp; Outputs'!$F20*Demand_Factor</f>
        <v>0</v>
      </c>
      <c r="I33" s="18">
        <f>'Inputs &amp; Outputs'!$G20*Demand_Factor</f>
        <v>0</v>
      </c>
      <c r="K33" s="18">
        <f t="shared" si="4"/>
        <v>1</v>
      </c>
      <c r="L33" s="18">
        <f t="shared" si="5"/>
        <v>500</v>
      </c>
      <c r="M33" s="78">
        <f t="shared" si="2"/>
        <v>0</v>
      </c>
      <c r="N33" s="18">
        <f t="shared" si="6"/>
        <v>0</v>
      </c>
      <c r="O33" s="78"/>
      <c r="P33" s="23"/>
      <c r="Q33" s="23"/>
      <c r="R33" s="18">
        <f t="shared" ref="R33:S35" si="10">H33</f>
        <v>0</v>
      </c>
      <c r="S33" s="18">
        <f t="shared" si="10"/>
        <v>0</v>
      </c>
      <c r="T33" s="18">
        <f t="shared" si="7"/>
        <v>0</v>
      </c>
      <c r="U33" s="18">
        <f t="shared" si="8"/>
        <v>0</v>
      </c>
      <c r="W33" s="23"/>
      <c r="X33" s="23"/>
      <c r="Y33" s="18">
        <f>'Inputs &amp; Outputs'!$F20</f>
        <v>460</v>
      </c>
      <c r="Z33" s="18">
        <f>'Inputs &amp; Outputs'!$G20</f>
        <v>460</v>
      </c>
      <c r="AA33" s="18">
        <f>'Inputs &amp; Outputs'!$F20</f>
        <v>460</v>
      </c>
      <c r="AB33" s="18">
        <f>'Inputs &amp; Outputs'!$G20</f>
        <v>460</v>
      </c>
    </row>
    <row r="34" spans="1:28">
      <c r="A34" t="s">
        <v>55</v>
      </c>
      <c r="B34" s="31" t="s">
        <v>46</v>
      </c>
      <c r="C34">
        <v>1</v>
      </c>
      <c r="D34">
        <f t="shared" si="1"/>
        <v>500</v>
      </c>
      <c r="F34" s="23"/>
      <c r="G34" s="23"/>
      <c r="H34" s="18">
        <f>'Inputs &amp; Outputs'!$F21*Demand_Factor</f>
        <v>0</v>
      </c>
      <c r="I34" s="18">
        <f>'Inputs &amp; Outputs'!$G21*Demand_Factor</f>
        <v>0</v>
      </c>
      <c r="K34" s="18">
        <f t="shared" si="4"/>
        <v>1</v>
      </c>
      <c r="L34" s="18">
        <f t="shared" si="5"/>
        <v>500</v>
      </c>
      <c r="M34" s="396">
        <f t="shared" si="2"/>
        <v>0</v>
      </c>
      <c r="N34" s="18">
        <f t="shared" si="6"/>
        <v>0</v>
      </c>
      <c r="O34" s="78"/>
      <c r="P34" s="23"/>
      <c r="Q34" s="23"/>
      <c r="R34" s="18">
        <f t="shared" si="10"/>
        <v>0</v>
      </c>
      <c r="S34" s="18">
        <f t="shared" si="10"/>
        <v>0</v>
      </c>
      <c r="T34" s="18">
        <f t="shared" si="7"/>
        <v>0</v>
      </c>
      <c r="U34" s="18">
        <f t="shared" si="8"/>
        <v>0</v>
      </c>
      <c r="W34" s="23"/>
      <c r="X34" s="23"/>
      <c r="Y34" s="18">
        <f>'Inputs &amp; Outputs'!$F21</f>
        <v>470</v>
      </c>
      <c r="Z34" s="18">
        <f>'Inputs &amp; Outputs'!$G21</f>
        <v>470</v>
      </c>
      <c r="AA34" s="18">
        <f>'Inputs &amp; Outputs'!$F21</f>
        <v>470</v>
      </c>
      <c r="AB34" s="18">
        <f>'Inputs &amp; Outputs'!$G21</f>
        <v>470</v>
      </c>
    </row>
    <row r="35" spans="1:28">
      <c r="A35" t="s">
        <v>55</v>
      </c>
      <c r="B35" s="29" t="s">
        <v>47</v>
      </c>
      <c r="C35">
        <v>1</v>
      </c>
      <c r="D35">
        <f t="shared" si="1"/>
        <v>500</v>
      </c>
      <c r="F35" s="23"/>
      <c r="G35" s="23"/>
      <c r="H35" s="18">
        <f>'Inputs &amp; Outputs'!$F22*Demand_Factor</f>
        <v>0</v>
      </c>
      <c r="I35" s="18">
        <f>'Inputs &amp; Outputs'!$G22*Demand_Factor</f>
        <v>0</v>
      </c>
      <c r="K35" s="18">
        <f t="shared" si="4"/>
        <v>1</v>
      </c>
      <c r="L35" s="18">
        <f t="shared" si="5"/>
        <v>500</v>
      </c>
      <c r="M35" s="396">
        <f t="shared" si="2"/>
        <v>0</v>
      </c>
      <c r="N35" s="18">
        <f t="shared" si="6"/>
        <v>0</v>
      </c>
      <c r="O35" s="78"/>
      <c r="P35" s="23"/>
      <c r="Q35" s="23"/>
      <c r="R35" s="18">
        <f t="shared" si="10"/>
        <v>0</v>
      </c>
      <c r="S35" s="18">
        <f t="shared" si="10"/>
        <v>0</v>
      </c>
      <c r="T35" s="18">
        <f t="shared" si="7"/>
        <v>0</v>
      </c>
      <c r="U35" s="18">
        <f t="shared" si="8"/>
        <v>0</v>
      </c>
      <c r="W35" s="23"/>
      <c r="X35" s="23"/>
      <c r="Y35" s="18">
        <f>'Inputs &amp; Outputs'!$F22</f>
        <v>470</v>
      </c>
      <c r="Z35" s="18">
        <f>'Inputs &amp; Outputs'!$G22</f>
        <v>470</v>
      </c>
      <c r="AA35" s="18">
        <f>'Inputs &amp; Outputs'!$F22</f>
        <v>470</v>
      </c>
      <c r="AB35" s="18">
        <f>'Inputs &amp; Outputs'!$G22</f>
        <v>470</v>
      </c>
    </row>
    <row r="36" spans="1:28">
      <c r="B36" s="12"/>
      <c r="F36" s="45"/>
      <c r="G36" s="45"/>
      <c r="H36" s="78"/>
      <c r="I36" s="78"/>
      <c r="J36" s="45"/>
      <c r="K36" s="78"/>
      <c r="L36" s="78"/>
      <c r="M36" s="78"/>
      <c r="N36" s="78"/>
      <c r="O36" s="78"/>
      <c r="P36" s="45"/>
      <c r="Q36" s="45"/>
      <c r="R36" s="78"/>
      <c r="S36" s="78"/>
      <c r="T36" s="45"/>
      <c r="U36" s="45"/>
      <c r="V36" s="45"/>
      <c r="W36" s="45"/>
      <c r="X36" s="45"/>
      <c r="Y36" s="18"/>
      <c r="Z36" s="18"/>
      <c r="AA36" s="18"/>
      <c r="AB36" s="18"/>
    </row>
    <row r="37" spans="1:28">
      <c r="B37" s="18"/>
      <c r="C37" s="18"/>
      <c r="H37" s="420" t="s">
        <v>312</v>
      </c>
      <c r="J37" s="26"/>
      <c r="K37" s="18"/>
      <c r="L37" s="18"/>
      <c r="M37" s="18"/>
      <c r="N37" s="18"/>
      <c r="O37" s="78"/>
      <c r="T37" s="18"/>
      <c r="U37" s="18"/>
    </row>
    <row r="38" spans="1:28" ht="13">
      <c r="B38" s="13" t="s">
        <v>235</v>
      </c>
      <c r="I38" s="249"/>
      <c r="K38" s="18"/>
      <c r="L38" s="18"/>
      <c r="M38" s="18"/>
      <c r="N38" s="18"/>
      <c r="O38" s="78"/>
      <c r="P38" s="13" t="s">
        <v>106</v>
      </c>
      <c r="T38" s="18"/>
      <c r="U38" s="18"/>
      <c r="W38" s="19" t="s">
        <v>413</v>
      </c>
    </row>
    <row r="39" spans="1:28">
      <c r="B39" s="14" t="s">
        <v>236</v>
      </c>
      <c r="K39" s="18"/>
      <c r="L39" s="18"/>
      <c r="M39" s="18"/>
      <c r="N39" s="18"/>
      <c r="O39" s="78"/>
      <c r="P39" s="14" t="s">
        <v>306</v>
      </c>
      <c r="T39" s="18"/>
      <c r="U39" s="18"/>
      <c r="W39" s="14" t="s">
        <v>307</v>
      </c>
    </row>
    <row r="40" spans="1:28">
      <c r="B40" s="31" t="s">
        <v>37</v>
      </c>
      <c r="C40">
        <f t="shared" ref="C40:D51" si="11">C24</f>
        <v>1</v>
      </c>
      <c r="D40">
        <f t="shared" si="11"/>
        <v>500</v>
      </c>
      <c r="F40" s="23"/>
      <c r="G40" s="23"/>
      <c r="H40" s="18">
        <f>MAX(Min_Draw,IF((H24-'CHP &amp; Energy'!U4)&gt;0,'Inputs &amp; Outputs'!$F11-'CHP &amp; Energy'!U4,0))</f>
        <v>1</v>
      </c>
      <c r="I40" s="18">
        <f>MAX(Min_Draw,IF((I24-'CHP &amp; Energy'!U4)&gt;0,I24-'CHP &amp; Energy'!U4,0))</f>
        <v>1</v>
      </c>
      <c r="K40" s="18">
        <f>C40</f>
        <v>1</v>
      </c>
      <c r="L40" s="18">
        <f>D40</f>
        <v>500</v>
      </c>
      <c r="M40" s="396">
        <f t="shared" ref="M40:M49" si="12">IF(F40=0,H40,F40)</f>
        <v>1</v>
      </c>
      <c r="N40" s="18">
        <f>IF(G40 = 0,I40,G40)</f>
        <v>1</v>
      </c>
      <c r="O40" s="78"/>
      <c r="P40" s="23"/>
      <c r="Q40" s="23"/>
      <c r="R40" s="18">
        <f>MAX(R24-'CHP &amp; Energy'!$U4,0)</f>
        <v>0</v>
      </c>
      <c r="S40" s="18">
        <f>MAX(S24-'CHP &amp; Energy'!$U4,0)</f>
        <v>0</v>
      </c>
      <c r="T40" s="18">
        <f>MAX(T24-'CHP &amp; Energy'!$U4,0)</f>
        <v>0</v>
      </c>
      <c r="U40" s="18">
        <f>MAX(U24-'CHP &amp; Energy'!$U4,0)</f>
        <v>0</v>
      </c>
      <c r="W40" s="23"/>
      <c r="X40" s="23"/>
      <c r="Y40" s="18">
        <f>IF(('Inputs &amp; Outputs'!$F11-'CHP &amp; Energy'!U4)&gt;0,'Inputs &amp; Outputs'!$F11-'CHP &amp; Energy'!U4,0)</f>
        <v>185</v>
      </c>
      <c r="Z40" s="18">
        <f>IF(('Inputs &amp; Outputs'!$F11-'CHP &amp; Energy'!U4)&gt;0,'Inputs &amp; Outputs'!$F11-'CHP &amp; Energy'!U4,0)</f>
        <v>185</v>
      </c>
      <c r="AA40" s="18">
        <f t="shared" ref="AA40:AB51" si="13">AA24</f>
        <v>470</v>
      </c>
      <c r="AB40" s="18">
        <f t="shared" si="13"/>
        <v>470</v>
      </c>
    </row>
    <row r="41" spans="1:28">
      <c r="B41" s="29" t="s">
        <v>38</v>
      </c>
      <c r="C41">
        <f t="shared" si="11"/>
        <v>1</v>
      </c>
      <c r="D41">
        <f t="shared" si="11"/>
        <v>500</v>
      </c>
      <c r="F41" s="23"/>
      <c r="G41" s="23"/>
      <c r="H41" s="18">
        <f>MAX(Min_Draw,IF((H25-'CHP &amp; Energy'!U5)&gt;0,'Inputs &amp; Outputs'!$F12-'CHP &amp; Energy'!U5,0))</f>
        <v>1</v>
      </c>
      <c r="I41" s="18">
        <f>MAX(Min_Draw,IF((I25-'CHP &amp; Energy'!U5)&gt;0,I25-'CHP &amp; Energy'!U5,0))</f>
        <v>1</v>
      </c>
      <c r="K41" s="18">
        <f t="shared" si="4"/>
        <v>1</v>
      </c>
      <c r="L41" s="18">
        <f>D41</f>
        <v>500</v>
      </c>
      <c r="M41" s="396">
        <f t="shared" si="12"/>
        <v>1</v>
      </c>
      <c r="N41" s="18">
        <f>IF(G41 = 0,I41,G41)</f>
        <v>1</v>
      </c>
      <c r="O41" s="78"/>
      <c r="P41" s="23"/>
      <c r="Q41" s="23"/>
      <c r="R41" s="18">
        <f>MAX(R25-'CHP &amp; Energy'!$U5,0)</f>
        <v>0</v>
      </c>
      <c r="S41" s="18">
        <f>MAX(S25-'CHP &amp; Energy'!$U5,0)</f>
        <v>0</v>
      </c>
      <c r="T41" s="18">
        <f>MAX(T25-'CHP &amp; Energy'!$U5,0)</f>
        <v>0</v>
      </c>
      <c r="U41" s="18">
        <f>MAX(U25-'CHP &amp; Energy'!$U5,0)</f>
        <v>0</v>
      </c>
      <c r="W41" s="23"/>
      <c r="X41" s="23"/>
      <c r="Y41" s="18">
        <f>IF(('Inputs &amp; Outputs'!$F12-'CHP &amp; Energy'!U5)&gt;0,'Inputs &amp; Outputs'!$F12-'CHP &amp; Energy'!U5,0)</f>
        <v>185</v>
      </c>
      <c r="Z41" s="18">
        <f>IF(('Inputs &amp; Outputs'!$F12-'CHP &amp; Energy'!U5)&gt;0,'Inputs &amp; Outputs'!$F12-'CHP &amp; Energy'!U5,0)</f>
        <v>185</v>
      </c>
      <c r="AA41" s="18">
        <f t="shared" si="13"/>
        <v>470</v>
      </c>
      <c r="AB41" s="18">
        <f t="shared" si="13"/>
        <v>470</v>
      </c>
    </row>
    <row r="42" spans="1:28">
      <c r="B42" s="31" t="s">
        <v>39</v>
      </c>
      <c r="C42">
        <f t="shared" si="11"/>
        <v>1</v>
      </c>
      <c r="D42">
        <f t="shared" si="11"/>
        <v>500</v>
      </c>
      <c r="F42" s="23"/>
      <c r="G42" s="23"/>
      <c r="H42" s="18">
        <f>MAX(Min_Draw,IF((H26-'CHP &amp; Energy'!U6)&gt;0,'Inputs &amp; Outputs'!$F13-'CHP &amp; Energy'!U6,0))</f>
        <v>1</v>
      </c>
      <c r="I42" s="18">
        <f>MAX(Min_Draw,IF((I26-'CHP &amp; Energy'!U6)&gt;0,I26-'CHP &amp; Energy'!U6,0))</f>
        <v>1</v>
      </c>
      <c r="K42" s="18">
        <f t="shared" si="4"/>
        <v>1</v>
      </c>
      <c r="L42" s="18">
        <f>D42</f>
        <v>500</v>
      </c>
      <c r="M42" s="396">
        <f t="shared" si="12"/>
        <v>1</v>
      </c>
      <c r="N42" s="18">
        <f>IF(G42 = 0,I42,G42)</f>
        <v>1</v>
      </c>
      <c r="O42" s="78"/>
      <c r="P42" s="23"/>
      <c r="Q42" s="23"/>
      <c r="R42" s="18">
        <f>MAX(R26-'CHP &amp; Energy'!$U6,0)</f>
        <v>0</v>
      </c>
      <c r="S42" s="18">
        <f>MAX(S26-'CHP &amp; Energy'!$U6,0)</f>
        <v>0</v>
      </c>
      <c r="T42" s="18">
        <f>MAX(T26-'CHP &amp; Energy'!$U6,0)</f>
        <v>0</v>
      </c>
      <c r="U42" s="18">
        <f>MAX(U26-'CHP &amp; Energy'!$U6,0)</f>
        <v>0</v>
      </c>
      <c r="W42" s="23"/>
      <c r="X42" s="23"/>
      <c r="Y42" s="18">
        <f>IF(('Inputs &amp; Outputs'!$F13-'CHP &amp; Energy'!U6)&gt;0,'Inputs &amp; Outputs'!$F13-'CHP &amp; Energy'!U6,0)</f>
        <v>185</v>
      </c>
      <c r="Z42" s="18">
        <f>IF(('Inputs &amp; Outputs'!$F13-'CHP &amp; Energy'!U6)&gt;0,'Inputs &amp; Outputs'!$F13-'CHP &amp; Energy'!U6,0)</f>
        <v>185</v>
      </c>
      <c r="AA42" s="18">
        <f t="shared" si="13"/>
        <v>470</v>
      </c>
      <c r="AB42" s="18">
        <f t="shared" si="13"/>
        <v>470</v>
      </c>
    </row>
    <row r="43" spans="1:28">
      <c r="B43" s="29" t="s">
        <v>40</v>
      </c>
      <c r="C43">
        <f t="shared" si="11"/>
        <v>1</v>
      </c>
      <c r="D43">
        <f t="shared" si="11"/>
        <v>500</v>
      </c>
      <c r="F43" s="23"/>
      <c r="G43" s="23"/>
      <c r="H43" s="18">
        <f>MAX(Min_Draw,IF((H27-'CHP &amp; Energy'!U7)&gt;0,'Inputs &amp; Outputs'!$F14-'CHP &amp; Energy'!U7,0))</f>
        <v>1</v>
      </c>
      <c r="I43" s="18">
        <f>MAX(Min_Draw,IF((I27-'CHP &amp; Energy'!U7)&gt;0,I27-'CHP &amp; Energy'!U7,0))</f>
        <v>1</v>
      </c>
      <c r="K43" s="18">
        <f t="shared" si="4"/>
        <v>1</v>
      </c>
      <c r="L43" s="18">
        <f>D43</f>
        <v>500</v>
      </c>
      <c r="M43" s="396">
        <f t="shared" si="12"/>
        <v>1</v>
      </c>
      <c r="N43" s="18">
        <f>IF(G43 = 0,I43,G43)</f>
        <v>1</v>
      </c>
      <c r="O43" s="78"/>
      <c r="P43" s="23"/>
      <c r="Q43" s="23"/>
      <c r="R43" s="18">
        <f>MAX(R27-'CHP &amp; Energy'!$U7,0)</f>
        <v>0</v>
      </c>
      <c r="S43" s="18">
        <f>MAX(S27-'CHP &amp; Energy'!$U7,0)</f>
        <v>0</v>
      </c>
      <c r="T43" s="18">
        <f>MAX(T27-'CHP &amp; Energy'!$U7,0)</f>
        <v>0</v>
      </c>
      <c r="U43" s="18">
        <f>MAX(U27-'CHP &amp; Energy'!$U7,0)</f>
        <v>0</v>
      </c>
      <c r="W43" s="23"/>
      <c r="X43" s="23"/>
      <c r="Y43" s="18">
        <f>IF(('Inputs &amp; Outputs'!$F14-'CHP &amp; Energy'!U7)&gt;0,'Inputs &amp; Outputs'!$F14-'CHP &amp; Energy'!U7,0)</f>
        <v>175</v>
      </c>
      <c r="Z43" s="18">
        <f>IF(('Inputs &amp; Outputs'!$F14-'CHP &amp; Energy'!U7)&gt;0,'Inputs &amp; Outputs'!$F14-'CHP &amp; Energy'!U7,0)</f>
        <v>175</v>
      </c>
      <c r="AA43" s="18">
        <f t="shared" si="13"/>
        <v>460</v>
      </c>
      <c r="AB43" s="18">
        <f t="shared" si="13"/>
        <v>460</v>
      </c>
    </row>
    <row r="44" spans="1:28">
      <c r="B44" s="31" t="s">
        <v>7</v>
      </c>
      <c r="C44">
        <f t="shared" si="11"/>
        <v>1</v>
      </c>
      <c r="D44">
        <f t="shared" si="11"/>
        <v>500</v>
      </c>
      <c r="F44" s="23"/>
      <c r="G44" s="23"/>
      <c r="H44" s="18">
        <f>MAX(Min_Draw,IF((H28-'CHP &amp; Energy'!U8)&gt;0,'Inputs &amp; Outputs'!$F15-'CHP &amp; Energy'!U8,0))</f>
        <v>1</v>
      </c>
      <c r="I44" s="18">
        <f>MAX(Min_Draw,IF((I28-'CHP &amp; Energy'!U8)&gt;0,I28-'CHP &amp; Energy'!U8,0))</f>
        <v>1</v>
      </c>
      <c r="K44" s="18">
        <f t="shared" si="4"/>
        <v>1</v>
      </c>
      <c r="L44" s="18">
        <f t="shared" ref="L44:L51" si="14">D44</f>
        <v>500</v>
      </c>
      <c r="M44" s="18">
        <f t="shared" si="12"/>
        <v>1</v>
      </c>
      <c r="N44" s="18">
        <f t="shared" ref="N44:N51" si="15">IF(G44 = 0,I44,G44)</f>
        <v>1</v>
      </c>
      <c r="O44" s="78"/>
      <c r="P44" s="23"/>
      <c r="Q44" s="23"/>
      <c r="R44" s="18">
        <f>MAX(R28-'CHP &amp; Energy'!$U8,0)</f>
        <v>0</v>
      </c>
      <c r="S44" s="18">
        <f>MAX(S28-'CHP &amp; Energy'!$U8,0)</f>
        <v>0</v>
      </c>
      <c r="T44" s="18">
        <f>MAX(T28-'CHP &amp; Energy'!$U8,0)</f>
        <v>0</v>
      </c>
      <c r="U44" s="18">
        <f>MAX(U28-'CHP &amp; Energy'!$U8,0)</f>
        <v>0</v>
      </c>
      <c r="W44" s="23"/>
      <c r="X44" s="23"/>
      <c r="Y44" s="18">
        <f>IF(('Inputs &amp; Outputs'!$F15-'CHP &amp; Energy'!U8)&gt;0,'Inputs &amp; Outputs'!$F15-'CHP &amp; Energy'!U8,0)</f>
        <v>215</v>
      </c>
      <c r="Z44" s="18">
        <f>IF(('Inputs &amp; Outputs'!$F15-'CHP &amp; Energy'!U8)&gt;0,'Inputs &amp; Outputs'!$F15-'CHP &amp; Energy'!U8,0)</f>
        <v>215</v>
      </c>
      <c r="AA44" s="18">
        <f t="shared" si="13"/>
        <v>500</v>
      </c>
      <c r="AB44" s="18">
        <f t="shared" si="13"/>
        <v>500</v>
      </c>
    </row>
    <row r="45" spans="1:28">
      <c r="B45" s="29" t="s">
        <v>41</v>
      </c>
      <c r="C45">
        <f t="shared" si="11"/>
        <v>1</v>
      </c>
      <c r="D45">
        <f t="shared" si="11"/>
        <v>500</v>
      </c>
      <c r="F45" s="18">
        <f>MAX(Min_Draw,IF((F29-'CHP &amp; Energy'!U9)&gt;0,F29-'CHP &amp; Energy'!U9,0))</f>
        <v>1</v>
      </c>
      <c r="G45" s="18">
        <f>MAX(Min_Draw,IF((G29-'CHP &amp; Energy'!U9)&gt;0,G29-'CHP &amp; Energy'!U9,0))</f>
        <v>1</v>
      </c>
      <c r="H45" s="23"/>
      <c r="I45" s="23"/>
      <c r="K45" s="18">
        <f t="shared" si="4"/>
        <v>1</v>
      </c>
      <c r="L45" s="18">
        <f t="shared" si="14"/>
        <v>500</v>
      </c>
      <c r="M45" s="18">
        <f t="shared" si="12"/>
        <v>1</v>
      </c>
      <c r="N45" s="18">
        <f t="shared" si="15"/>
        <v>1</v>
      </c>
      <c r="O45" s="78"/>
      <c r="P45" s="18">
        <f>MAX(P29-'CHP &amp; Energy'!U9,0)</f>
        <v>0</v>
      </c>
      <c r="Q45" s="18">
        <f>MAX(Q29-'CHP &amp; Energy'!U9,0)</f>
        <v>0</v>
      </c>
      <c r="R45" s="23"/>
      <c r="S45" s="23"/>
      <c r="T45" s="18">
        <f>MAX(T29-'CHP &amp; Energy'!$U9,0)</f>
        <v>0</v>
      </c>
      <c r="U45" s="18">
        <f>MAX(U29-'CHP &amp; Energy'!$U9,0)</f>
        <v>0</v>
      </c>
      <c r="W45" s="18">
        <f>IF(('Inputs &amp; Outputs'!$F16-'CHP &amp; Energy'!U9)&gt;0,'Inputs &amp; Outputs'!$F16-'CHP &amp; Energy'!U9,0)</f>
        <v>216</v>
      </c>
      <c r="X45" s="18">
        <f>IF(('Inputs &amp; Outputs'!$F16-'CHP &amp; Energy'!U9)&gt;0,'Inputs &amp; Outputs'!$F16-'CHP &amp; Energy'!U9,0)</f>
        <v>216</v>
      </c>
      <c r="Y45" s="23"/>
      <c r="Z45" s="23"/>
      <c r="AA45" s="18">
        <f t="shared" si="13"/>
        <v>501</v>
      </c>
      <c r="AB45" s="18">
        <f t="shared" si="13"/>
        <v>501</v>
      </c>
    </row>
    <row r="46" spans="1:28">
      <c r="B46" s="31" t="s">
        <v>42</v>
      </c>
      <c r="C46">
        <f t="shared" si="11"/>
        <v>1</v>
      </c>
      <c r="D46">
        <f t="shared" si="11"/>
        <v>500</v>
      </c>
      <c r="F46" s="18">
        <f>MAX(Min_Draw,IF((F30-'CHP &amp; Energy'!U10)&gt;0,F30-'CHP &amp; Energy'!U10,0))</f>
        <v>1</v>
      </c>
      <c r="G46" s="18">
        <f>MAX(Min_Draw,IF((G30-'CHP &amp; Energy'!U10)&gt;0,G30-'CHP &amp; Energy'!U10,0))</f>
        <v>1</v>
      </c>
      <c r="H46" s="23"/>
      <c r="I46" s="23"/>
      <c r="K46" s="18">
        <f t="shared" si="4"/>
        <v>1</v>
      </c>
      <c r="L46" s="18">
        <f t="shared" si="14"/>
        <v>500</v>
      </c>
      <c r="M46" s="18">
        <f t="shared" si="12"/>
        <v>1</v>
      </c>
      <c r="N46" s="18">
        <f t="shared" si="15"/>
        <v>1</v>
      </c>
      <c r="O46" s="78"/>
      <c r="P46" s="18">
        <f>MAX(P30-'CHP &amp; Energy'!U10,0)</f>
        <v>0</v>
      </c>
      <c r="Q46" s="18">
        <f>MAX(Q30-'CHP &amp; Energy'!U10,0)</f>
        <v>0</v>
      </c>
      <c r="R46" s="23"/>
      <c r="S46" s="23"/>
      <c r="T46" s="18">
        <f>MAX(T30-'CHP &amp; Energy'!$U10,0)</f>
        <v>0</v>
      </c>
      <c r="U46" s="18">
        <f>MAX(U30-'CHP &amp; Energy'!$U10,0)</f>
        <v>0</v>
      </c>
      <c r="W46" s="18">
        <f>IF(('Inputs &amp; Outputs'!$F17-'CHP &amp; Energy'!U10)&gt;0,'Inputs &amp; Outputs'!$F17-'CHP &amp; Energy'!U10,0)</f>
        <v>716</v>
      </c>
      <c r="X46" s="18">
        <f>IF(('Inputs &amp; Outputs'!$F17-'CHP &amp; Energy'!U10)&gt;0,'Inputs &amp; Outputs'!$F17-'CHP &amp; Energy'!U10,0)</f>
        <v>716</v>
      </c>
      <c r="Y46" s="23"/>
      <c r="Z46" s="23"/>
      <c r="AA46" s="18">
        <f t="shared" si="13"/>
        <v>1001</v>
      </c>
      <c r="AB46" s="18">
        <f t="shared" si="13"/>
        <v>1001</v>
      </c>
    </row>
    <row r="47" spans="1:28">
      <c r="B47" s="29" t="s">
        <v>43</v>
      </c>
      <c r="C47">
        <f t="shared" si="11"/>
        <v>1</v>
      </c>
      <c r="D47">
        <f t="shared" si="11"/>
        <v>500</v>
      </c>
      <c r="F47" s="18">
        <f>MAX(Min_Draw,IF((F31-'CHP &amp; Energy'!U11)&gt;0,F31-'CHP &amp; Energy'!U11,0))</f>
        <v>1</v>
      </c>
      <c r="G47" s="18">
        <f>MAX(Min_Draw,IF((G31-'CHP &amp; Energy'!U11)&gt;0,G31-'CHP &amp; Energy'!U11,0))</f>
        <v>1</v>
      </c>
      <c r="H47" s="23"/>
      <c r="I47" s="23"/>
      <c r="K47" s="18">
        <f t="shared" si="4"/>
        <v>1</v>
      </c>
      <c r="L47" s="18">
        <f t="shared" si="14"/>
        <v>500</v>
      </c>
      <c r="M47" s="18">
        <f t="shared" si="12"/>
        <v>1</v>
      </c>
      <c r="N47" s="18">
        <f t="shared" si="15"/>
        <v>1</v>
      </c>
      <c r="O47" s="78"/>
      <c r="P47" s="18">
        <f>MAX(P31-'CHP &amp; Energy'!U11,0)</f>
        <v>0</v>
      </c>
      <c r="Q47" s="18">
        <f>MAX(Q31-'CHP &amp; Energy'!U11,0)</f>
        <v>0</v>
      </c>
      <c r="R47" s="23"/>
      <c r="S47" s="23"/>
      <c r="T47" s="18">
        <f>MAX(T31-'CHP &amp; Energy'!$U11,0)</f>
        <v>0</v>
      </c>
      <c r="U47" s="18">
        <f>MAX(U31-'CHP &amp; Energy'!$U11,0)</f>
        <v>0</v>
      </c>
      <c r="W47" s="18">
        <f>IF(('Inputs &amp; Outputs'!$F18-'CHP &amp; Energy'!U11)&gt;0,'Inputs &amp; Outputs'!$F18-'CHP &amp; Energy'!U11,0)</f>
        <v>215</v>
      </c>
      <c r="X47" s="18">
        <f>IF(('Inputs &amp; Outputs'!$F18-'CHP &amp; Energy'!U11)&gt;0,'Inputs &amp; Outputs'!$F18-'CHP &amp; Energy'!U11,0)</f>
        <v>215</v>
      </c>
      <c r="Y47" s="23"/>
      <c r="Z47" s="23"/>
      <c r="AA47" s="18">
        <f t="shared" si="13"/>
        <v>500</v>
      </c>
      <c r="AB47" s="18">
        <f t="shared" si="13"/>
        <v>500</v>
      </c>
    </row>
    <row r="48" spans="1:28">
      <c r="B48" s="31" t="s">
        <v>44</v>
      </c>
      <c r="C48">
        <f t="shared" si="11"/>
        <v>1</v>
      </c>
      <c r="D48">
        <f t="shared" si="11"/>
        <v>500</v>
      </c>
      <c r="F48" s="18">
        <f>MAX(Min_Draw,IF((F32-'CHP &amp; Energy'!U12)&gt;0,F32-'CHP &amp; Energy'!U12,0))</f>
        <v>1</v>
      </c>
      <c r="G48" s="18">
        <f>MAX(Min_Draw,IF((G32-'CHP &amp; Energy'!U12)&gt;0,G32-'CHP &amp; Energy'!U12,0))</f>
        <v>1</v>
      </c>
      <c r="H48" s="23"/>
      <c r="I48" s="23"/>
      <c r="K48" s="18">
        <f t="shared" si="4"/>
        <v>1</v>
      </c>
      <c r="L48" s="18">
        <f t="shared" si="14"/>
        <v>500</v>
      </c>
      <c r="M48" s="18">
        <f t="shared" si="12"/>
        <v>1</v>
      </c>
      <c r="N48" s="18">
        <f t="shared" si="15"/>
        <v>1</v>
      </c>
      <c r="O48" s="78"/>
      <c r="P48" s="18">
        <f>MAX(P32-'CHP &amp; Energy'!U12,0)</f>
        <v>0</v>
      </c>
      <c r="Q48" s="18">
        <f>MAX(Q32-'CHP &amp; Energy'!U12,0)</f>
        <v>0</v>
      </c>
      <c r="R48" s="23"/>
      <c r="S48" s="23"/>
      <c r="T48" s="18">
        <f>MAX(T32-'CHP &amp; Energy'!$U12,0)</f>
        <v>0</v>
      </c>
      <c r="U48" s="18">
        <f>MAX(U32-'CHP &amp; Energy'!$U12,0)</f>
        <v>0</v>
      </c>
      <c r="W48" s="18">
        <f>IF(('Inputs &amp; Outputs'!$F19-'CHP &amp; Energy'!U12)&gt;0,'Inputs &amp; Outputs'!$F19-'CHP &amp; Energy'!U12,0)</f>
        <v>215</v>
      </c>
      <c r="X48" s="18">
        <f>IF(('Inputs &amp; Outputs'!$F19-'CHP &amp; Energy'!U12)&gt;0,'Inputs &amp; Outputs'!$F19-'CHP &amp; Energy'!U12,0)</f>
        <v>215</v>
      </c>
      <c r="Y48" s="23"/>
      <c r="Z48" s="23"/>
      <c r="AA48" s="18">
        <f t="shared" si="13"/>
        <v>500</v>
      </c>
      <c r="AB48" s="18">
        <f t="shared" si="13"/>
        <v>500</v>
      </c>
    </row>
    <row r="49" spans="2:28">
      <c r="B49" s="29" t="s">
        <v>45</v>
      </c>
      <c r="C49">
        <f t="shared" si="11"/>
        <v>1</v>
      </c>
      <c r="D49">
        <f t="shared" si="11"/>
        <v>500</v>
      </c>
      <c r="F49" s="23"/>
      <c r="G49" s="23"/>
      <c r="H49" s="18">
        <f>MAX(Min_Draw,IF((H33-'CHP &amp; Energy'!U13)&gt;0,'Inputs &amp; Outputs'!$F20-'CHP &amp; Energy'!U13,0))</f>
        <v>1</v>
      </c>
      <c r="I49" s="18">
        <f>MAX(Min_Draw,IF((I33-'CHP &amp; Energy'!U13)&gt;0,I33-'CHP &amp; Energy'!U13,0))</f>
        <v>1</v>
      </c>
      <c r="K49" s="18">
        <f t="shared" si="4"/>
        <v>1</v>
      </c>
      <c r="L49" s="18">
        <f t="shared" si="14"/>
        <v>500</v>
      </c>
      <c r="M49" s="18">
        <f t="shared" si="12"/>
        <v>1</v>
      </c>
      <c r="N49" s="18">
        <f t="shared" si="15"/>
        <v>1</v>
      </c>
      <c r="O49" s="78"/>
      <c r="P49" s="23"/>
      <c r="Q49" s="23"/>
      <c r="R49" s="18">
        <f>MAX(R33-'CHP &amp; Energy'!$U13,0)</f>
        <v>0</v>
      </c>
      <c r="S49" s="18">
        <f>MAX(S33-'CHP &amp; Energy'!$U13,0)</f>
        <v>0</v>
      </c>
      <c r="T49" s="18">
        <f>MAX(T33-'CHP &amp; Energy'!$U13,0)</f>
        <v>0</v>
      </c>
      <c r="U49" s="18">
        <f>MAX(U33-'CHP &amp; Energy'!$U13,0)</f>
        <v>0</v>
      </c>
      <c r="W49" s="23"/>
      <c r="X49" s="23"/>
      <c r="Y49" s="18">
        <f>IF(('Inputs &amp; Outputs'!$F20-'CHP &amp; Energy'!U13)&gt;0,'Inputs &amp; Outputs'!$F20-'CHP &amp; Energy'!U13,0)</f>
        <v>175</v>
      </c>
      <c r="Z49" s="18">
        <f>IF(('Inputs &amp; Outputs'!$F20-'CHP &amp; Energy'!U13)&gt;0,'Inputs &amp; Outputs'!$F20-'CHP &amp; Energy'!U13,0)</f>
        <v>175</v>
      </c>
      <c r="AA49" s="18">
        <f t="shared" si="13"/>
        <v>460</v>
      </c>
      <c r="AB49" s="18">
        <f t="shared" si="13"/>
        <v>460</v>
      </c>
    </row>
    <row r="50" spans="2:28">
      <c r="B50" s="31" t="s">
        <v>46</v>
      </c>
      <c r="C50">
        <f t="shared" si="11"/>
        <v>1</v>
      </c>
      <c r="D50">
        <f t="shared" si="11"/>
        <v>500</v>
      </c>
      <c r="F50" s="23"/>
      <c r="G50" s="23"/>
      <c r="H50" s="18">
        <f>MAX(Min_Draw,IF((H34-'CHP &amp; Energy'!U14)&gt;0,'Inputs &amp; Outputs'!$F21-'CHP &amp; Energy'!U14,0))</f>
        <v>1</v>
      </c>
      <c r="I50" s="18">
        <f>MAX(Min_Draw,IF((I34-'CHP &amp; Energy'!U14)&gt;0,I34-'CHP &amp; Energy'!U14,0))</f>
        <v>1</v>
      </c>
      <c r="K50" s="18">
        <f t="shared" si="4"/>
        <v>1</v>
      </c>
      <c r="L50" s="18">
        <f t="shared" si="14"/>
        <v>500</v>
      </c>
      <c r="M50" s="396">
        <f>IF(F50=0,H50,F50)</f>
        <v>1</v>
      </c>
      <c r="N50" s="18">
        <f t="shared" si="15"/>
        <v>1</v>
      </c>
      <c r="O50" s="78"/>
      <c r="P50" s="23"/>
      <c r="Q50" s="23"/>
      <c r="R50" s="18">
        <f>MAX(R34-'CHP &amp; Energy'!$U14,0)</f>
        <v>0</v>
      </c>
      <c r="S50" s="18">
        <f>MAX(S34-'CHP &amp; Energy'!$U14,0)</f>
        <v>0</v>
      </c>
      <c r="T50" s="18">
        <f>MAX(T34-'CHP &amp; Energy'!$U14,0)</f>
        <v>0</v>
      </c>
      <c r="U50" s="18">
        <f>MAX(U34-'CHP &amp; Energy'!$U14,0)</f>
        <v>0</v>
      </c>
      <c r="W50" s="23"/>
      <c r="X50" s="23"/>
      <c r="Y50" s="18">
        <f>IF(('Inputs &amp; Outputs'!$F21-'CHP &amp; Energy'!U14)&gt;0,'Inputs &amp; Outputs'!$F21-'CHP &amp; Energy'!U14,0)</f>
        <v>185</v>
      </c>
      <c r="Z50" s="18">
        <f>IF(('Inputs &amp; Outputs'!$F21-'CHP &amp; Energy'!U14)&gt;0,'Inputs &amp; Outputs'!$F21-'CHP &amp; Energy'!U14,0)</f>
        <v>185</v>
      </c>
      <c r="AA50" s="18">
        <f t="shared" si="13"/>
        <v>470</v>
      </c>
      <c r="AB50" s="18">
        <f t="shared" si="13"/>
        <v>470</v>
      </c>
    </row>
    <row r="51" spans="2:28">
      <c r="B51" s="29" t="s">
        <v>47</v>
      </c>
      <c r="C51">
        <f t="shared" si="11"/>
        <v>1</v>
      </c>
      <c r="D51">
        <f t="shared" si="11"/>
        <v>500</v>
      </c>
      <c r="F51" s="23"/>
      <c r="G51" s="23"/>
      <c r="H51" s="18">
        <f>MAX(Min_Draw,IF((H35-'CHP &amp; Energy'!U15)&gt;0,'Inputs &amp; Outputs'!$F22-'CHP &amp; Energy'!U15,0))</f>
        <v>1</v>
      </c>
      <c r="I51" s="18">
        <f>MAX(Min_Draw,IF((I35-'CHP &amp; Energy'!U15)&gt;0,I35-'CHP &amp; Energy'!U15,0))</f>
        <v>1</v>
      </c>
      <c r="K51" s="18">
        <f t="shared" si="4"/>
        <v>1</v>
      </c>
      <c r="L51" s="18">
        <f t="shared" si="14"/>
        <v>500</v>
      </c>
      <c r="M51" s="396">
        <f>IF(F51=0,H51,F51)</f>
        <v>1</v>
      </c>
      <c r="N51" s="18">
        <f t="shared" si="15"/>
        <v>1</v>
      </c>
      <c r="O51" s="78"/>
      <c r="P51" s="23"/>
      <c r="Q51" s="23"/>
      <c r="R51" s="18">
        <f>MAX(R35-'CHP &amp; Energy'!$U15,0)</f>
        <v>0</v>
      </c>
      <c r="S51" s="18">
        <f>MAX(S35-'CHP &amp; Energy'!$U15,0)</f>
        <v>0</v>
      </c>
      <c r="T51" s="18">
        <f>MAX(T35-'CHP &amp; Energy'!$U15,0)</f>
        <v>0</v>
      </c>
      <c r="U51" s="18">
        <f>MAX(U35-'CHP &amp; Energy'!$U15,0)</f>
        <v>0</v>
      </c>
      <c r="W51" s="23"/>
      <c r="X51" s="23"/>
      <c r="Y51" s="18">
        <f>IF(('Inputs &amp; Outputs'!$F22-'CHP &amp; Energy'!U15)&gt;0,'Inputs &amp; Outputs'!$F22-'CHP &amp; Energy'!U15,0)</f>
        <v>185</v>
      </c>
      <c r="Z51" s="18">
        <f>IF(('Inputs &amp; Outputs'!$F22-'CHP &amp; Energy'!U15)&gt;0,'Inputs &amp; Outputs'!$F22-'CHP &amp; Energy'!U15,0)</f>
        <v>185</v>
      </c>
      <c r="AA51" s="18">
        <f t="shared" si="13"/>
        <v>470</v>
      </c>
      <c r="AB51" s="18">
        <f t="shared" si="13"/>
        <v>470</v>
      </c>
    </row>
    <row r="52" spans="2:28">
      <c r="T52" s="18"/>
      <c r="U52" s="18"/>
    </row>
    <row r="53" spans="2:28">
      <c r="T53" s="18"/>
      <c r="U53" s="18"/>
    </row>
    <row r="54" spans="2:28" ht="13">
      <c r="B54" s="13" t="s">
        <v>234</v>
      </c>
      <c r="E54" s="75" t="s">
        <v>329</v>
      </c>
      <c r="H54" s="397" t="s">
        <v>387</v>
      </c>
      <c r="I54" s="398">
        <f>Chiller_Offset*Nameplate</f>
        <v>30</v>
      </c>
      <c r="T54" s="18"/>
      <c r="U54" s="18"/>
    </row>
    <row r="55" spans="2:28">
      <c r="B55" s="14" t="s">
        <v>257</v>
      </c>
      <c r="P55" s="433" t="s">
        <v>305</v>
      </c>
      <c r="T55" s="18"/>
      <c r="U55" s="18"/>
    </row>
    <row r="56" spans="2:28">
      <c r="B56" s="31" t="s">
        <v>37</v>
      </c>
      <c r="C56">
        <f t="shared" ref="C56:D67" si="16">C24</f>
        <v>1</v>
      </c>
      <c r="D56">
        <f t="shared" si="16"/>
        <v>500</v>
      </c>
      <c r="F56" s="23"/>
      <c r="G56" s="23"/>
      <c r="H56" s="18">
        <f>MAX(Min_Draw,IF(('Inputs &amp; Outputs'!$F11-'CHP &amp; Energy'!U4)&gt;0,'Inputs &amp; Outputs'!$F11-'CHP &amp; Energy'!U4-'CHP &amp; Energy'!T21,0))</f>
        <v>185</v>
      </c>
      <c r="I56" s="18">
        <f>MAX(Min_Draw,IF(('Inputs &amp; Outputs'!$G11-'CHP &amp; Energy'!U4)&gt;0,'Inputs &amp; Outputs'!$G11-'CHP &amp; Energy'!U4-'CHP &amp; Energy'!T21,0))</f>
        <v>185</v>
      </c>
      <c r="K56" s="18">
        <f>C56</f>
        <v>1</v>
      </c>
      <c r="L56" s="18">
        <f>D56</f>
        <v>500</v>
      </c>
      <c r="M56" s="396">
        <f>IF(F56=0,H56,F56)</f>
        <v>185</v>
      </c>
      <c r="N56" s="18">
        <f>IF(G56 = 0,I56,G56)</f>
        <v>185</v>
      </c>
      <c r="P56" s="434" t="s">
        <v>308</v>
      </c>
      <c r="T56" s="18"/>
      <c r="U56" s="18"/>
    </row>
    <row r="57" spans="2:28">
      <c r="B57" s="29" t="s">
        <v>38</v>
      </c>
      <c r="C57">
        <f t="shared" si="16"/>
        <v>1</v>
      </c>
      <c r="D57">
        <f t="shared" si="16"/>
        <v>500</v>
      </c>
      <c r="F57" s="23"/>
      <c r="G57" s="23"/>
      <c r="H57" s="18">
        <f>MAX(Min_Draw,IF(('Inputs &amp; Outputs'!$F12-'CHP &amp; Energy'!U5)&gt;0,'Inputs &amp; Outputs'!$F12-'CHP &amp; Energy'!U5-'CHP &amp; Energy'!T22,0))</f>
        <v>185</v>
      </c>
      <c r="I57" s="18">
        <f>MAX(Min_Draw,IF(('Inputs &amp; Outputs'!$G12-'CHP &amp; Energy'!U5)&gt;0,'Inputs &amp; Outputs'!$G12-'CHP &amp; Energy'!U5-'CHP &amp; Energy'!T22,0))</f>
        <v>185</v>
      </c>
      <c r="K57" s="18">
        <f>C57</f>
        <v>1</v>
      </c>
      <c r="L57" s="18">
        <f>D57</f>
        <v>500</v>
      </c>
      <c r="M57" s="396">
        <f>IF(F57=0,H57,F57)</f>
        <v>185</v>
      </c>
      <c r="N57" s="18">
        <f>IF(G57 = 0,I57,G57)</f>
        <v>185</v>
      </c>
      <c r="T57" s="18"/>
      <c r="U57" s="18"/>
    </row>
    <row r="58" spans="2:28">
      <c r="B58" s="31" t="s">
        <v>39</v>
      </c>
      <c r="C58">
        <f t="shared" si="16"/>
        <v>1</v>
      </c>
      <c r="D58">
        <f t="shared" si="16"/>
        <v>500</v>
      </c>
      <c r="F58" s="23"/>
      <c r="G58" s="23"/>
      <c r="H58" s="18">
        <f>MAX(Min_Draw,IF(('Inputs &amp; Outputs'!$F13-'CHP &amp; Energy'!U6)&gt;0,'Inputs &amp; Outputs'!$F13-'CHP &amp; Energy'!U6-'CHP &amp; Energy'!T23,0))</f>
        <v>185</v>
      </c>
      <c r="I58" s="18">
        <f>MAX(Min_Draw,IF(('Inputs &amp; Outputs'!$G13-'CHP &amp; Energy'!U6)&gt;0,'Inputs &amp; Outputs'!$G13-'CHP &amp; Energy'!U6-'CHP &amp; Energy'!T23,0))</f>
        <v>185</v>
      </c>
      <c r="K58" s="18">
        <f t="shared" ref="K58:K67" si="17">C58</f>
        <v>1</v>
      </c>
      <c r="L58" s="18">
        <f t="shared" ref="L58:L67" si="18">D58</f>
        <v>500</v>
      </c>
      <c r="M58" s="396">
        <f t="shared" ref="M58:M67" si="19">IF(F58=0,H58,F58)</f>
        <v>185</v>
      </c>
      <c r="N58" s="18">
        <f t="shared" ref="N58:N67" si="20">IF(G58 = 0,I58,G58)</f>
        <v>185</v>
      </c>
      <c r="T58" s="18"/>
      <c r="U58" s="18"/>
    </row>
    <row r="59" spans="2:28">
      <c r="B59" s="29" t="s">
        <v>40</v>
      </c>
      <c r="C59">
        <f t="shared" si="16"/>
        <v>1</v>
      </c>
      <c r="D59">
        <f t="shared" si="16"/>
        <v>500</v>
      </c>
      <c r="F59" s="23"/>
      <c r="G59" s="23"/>
      <c r="H59" s="18">
        <f>MAX(Min_Draw,IF(('Inputs &amp; Outputs'!$F14-'CHP &amp; Energy'!U7)&gt;0,'Inputs &amp; Outputs'!$F14-'CHP &amp; Energy'!U7-'CHP &amp; Energy'!T24,0))</f>
        <v>175</v>
      </c>
      <c r="I59" s="18">
        <f>MAX(Min_Draw,IF(('Inputs &amp; Outputs'!$G14-'CHP &amp; Energy'!U7)&gt;0,'Inputs &amp; Outputs'!$G14-'CHP &amp; Energy'!U7-'CHP &amp; Energy'!T24,0))</f>
        <v>175</v>
      </c>
      <c r="K59" s="18">
        <f t="shared" si="17"/>
        <v>1</v>
      </c>
      <c r="L59" s="18">
        <f t="shared" si="18"/>
        <v>500</v>
      </c>
      <c r="M59" s="396">
        <f t="shared" si="19"/>
        <v>175</v>
      </c>
      <c r="N59" s="18">
        <f t="shared" si="20"/>
        <v>175</v>
      </c>
      <c r="T59" s="18"/>
      <c r="U59" s="18"/>
    </row>
    <row r="60" spans="2:28">
      <c r="B60" s="31" t="s">
        <v>7</v>
      </c>
      <c r="C60">
        <f t="shared" si="16"/>
        <v>1</v>
      </c>
      <c r="D60">
        <f t="shared" si="16"/>
        <v>500</v>
      </c>
      <c r="F60" s="23"/>
      <c r="G60" s="23"/>
      <c r="H60" s="18">
        <f>MAX(Min_Draw,IF(('Inputs &amp; Outputs'!$F15-'CHP &amp; Energy'!U8)&gt;0,'Inputs &amp; Outputs'!$F15-'CHP &amp; Energy'!U8-'CHP &amp; Energy'!T25,0))</f>
        <v>185</v>
      </c>
      <c r="I60" s="18">
        <f>MAX(Min_Draw,IF(('Inputs &amp; Outputs'!$G15-'CHP &amp; Energy'!U8)&gt;0,'Inputs &amp; Outputs'!$G15-'CHP &amp; Energy'!U8-'CHP &amp; Energy'!T25,0))</f>
        <v>185</v>
      </c>
      <c r="K60" s="18">
        <f t="shared" si="17"/>
        <v>1</v>
      </c>
      <c r="L60" s="18">
        <f t="shared" si="18"/>
        <v>500</v>
      </c>
      <c r="M60" s="18">
        <f t="shared" si="19"/>
        <v>185</v>
      </c>
      <c r="N60" s="18">
        <f t="shared" si="20"/>
        <v>185</v>
      </c>
      <c r="T60" s="18"/>
      <c r="U60" s="18"/>
    </row>
    <row r="61" spans="2:28">
      <c r="B61" s="29" t="s">
        <v>41</v>
      </c>
      <c r="C61">
        <f t="shared" si="16"/>
        <v>1</v>
      </c>
      <c r="D61">
        <f t="shared" si="16"/>
        <v>500</v>
      </c>
      <c r="F61" s="18">
        <f>MAX(Min_Draw,IF(('Inputs &amp; Outputs'!$F16-'CHP &amp; Energy'!U9)&gt;0,'Inputs &amp; Outputs'!$F16-'CHP &amp; Energy'!U9-'CHP &amp; Energy'!T26,0))</f>
        <v>186</v>
      </c>
      <c r="G61" s="18">
        <f>MAX(Min_Draw,IF(('Inputs &amp; Outputs'!$G16-'CHP &amp; Energy'!U9)&gt;0,'Inputs &amp; Outputs'!$G16-'CHP &amp; Energy'!U9-'CHP &amp; Energy'!T26,0))</f>
        <v>186</v>
      </c>
      <c r="H61" s="23"/>
      <c r="I61" s="23"/>
      <c r="K61" s="18">
        <f t="shared" si="17"/>
        <v>1</v>
      </c>
      <c r="L61" s="18">
        <f t="shared" si="18"/>
        <v>500</v>
      </c>
      <c r="M61" s="18">
        <f t="shared" si="19"/>
        <v>186</v>
      </c>
      <c r="N61" s="18">
        <f t="shared" si="20"/>
        <v>186</v>
      </c>
      <c r="T61" s="18"/>
      <c r="U61" s="18"/>
    </row>
    <row r="62" spans="2:28">
      <c r="B62" s="31" t="s">
        <v>42</v>
      </c>
      <c r="C62">
        <f t="shared" si="16"/>
        <v>1</v>
      </c>
      <c r="D62">
        <f t="shared" si="16"/>
        <v>500</v>
      </c>
      <c r="F62" s="18">
        <f>MAX(Min_Draw,IF(('Inputs &amp; Outputs'!$F17-'CHP &amp; Energy'!U10)&gt;0,'Inputs &amp; Outputs'!$F17-'CHP &amp; Energy'!U10-'CHP &amp; Energy'!T27,0))</f>
        <v>686</v>
      </c>
      <c r="G62" s="18">
        <f>MAX(Min_Draw,IF(('Inputs &amp; Outputs'!$G17-'CHP &amp; Energy'!U10)&gt;0,'Inputs &amp; Outputs'!$G17-'CHP &amp; Energy'!U10-'CHP &amp; Energy'!T27,0))</f>
        <v>686</v>
      </c>
      <c r="H62" s="23"/>
      <c r="I62" s="23"/>
      <c r="K62" s="18">
        <f t="shared" si="17"/>
        <v>1</v>
      </c>
      <c r="L62" s="18">
        <f t="shared" si="18"/>
        <v>500</v>
      </c>
      <c r="M62" s="18">
        <f t="shared" si="19"/>
        <v>686</v>
      </c>
      <c r="N62" s="18">
        <f t="shared" si="20"/>
        <v>686</v>
      </c>
      <c r="T62" s="18"/>
      <c r="U62" s="18"/>
    </row>
    <row r="63" spans="2:28">
      <c r="B63" s="29" t="s">
        <v>43</v>
      </c>
      <c r="C63">
        <f t="shared" si="16"/>
        <v>1</v>
      </c>
      <c r="D63">
        <f t="shared" si="16"/>
        <v>500</v>
      </c>
      <c r="F63" s="18">
        <f>MAX(Min_Draw,IF(('Inputs &amp; Outputs'!$F18-'CHP &amp; Energy'!U11)&gt;0,'Inputs &amp; Outputs'!$F18-'CHP &amp; Energy'!U11-'CHP &amp; Energy'!T28,0))</f>
        <v>185</v>
      </c>
      <c r="G63" s="18">
        <f>MAX(Min_Draw,IF(('Inputs &amp; Outputs'!$G18-'CHP &amp; Energy'!U11)&gt;0,'Inputs &amp; Outputs'!$G18-'CHP &amp; Energy'!U11-'CHP &amp; Energy'!T28,0))</f>
        <v>185</v>
      </c>
      <c r="H63" s="23"/>
      <c r="I63" s="23"/>
      <c r="K63" s="18">
        <f t="shared" si="17"/>
        <v>1</v>
      </c>
      <c r="L63" s="18">
        <f t="shared" si="18"/>
        <v>500</v>
      </c>
      <c r="M63" s="18">
        <f t="shared" si="19"/>
        <v>185</v>
      </c>
      <c r="N63" s="18">
        <f t="shared" si="20"/>
        <v>185</v>
      </c>
      <c r="T63" s="18"/>
      <c r="U63" s="18"/>
    </row>
    <row r="64" spans="2:28">
      <c r="B64" s="31" t="s">
        <v>44</v>
      </c>
      <c r="C64">
        <f t="shared" si="16"/>
        <v>1</v>
      </c>
      <c r="D64">
        <f t="shared" si="16"/>
        <v>500</v>
      </c>
      <c r="F64" s="18">
        <f>MAX(Min_Draw,IF(('Inputs &amp; Outputs'!$F19-'CHP &amp; Energy'!U12)&gt;0,'Inputs &amp; Outputs'!$F19-'CHP &amp; Energy'!U12-'CHP &amp; Energy'!T29,0))</f>
        <v>185</v>
      </c>
      <c r="G64" s="18">
        <f>MAX(Min_Draw,IF(('Inputs &amp; Outputs'!$G19-'CHP &amp; Energy'!U12)&gt;0,'Inputs &amp; Outputs'!$G19-'CHP &amp; Energy'!U12-'CHP &amp; Energy'!T29,0))</f>
        <v>185</v>
      </c>
      <c r="H64" s="23"/>
      <c r="I64" s="23"/>
      <c r="K64" s="18">
        <f t="shared" si="17"/>
        <v>1</v>
      </c>
      <c r="L64" s="18">
        <f t="shared" si="18"/>
        <v>500</v>
      </c>
      <c r="M64" s="18">
        <f t="shared" si="19"/>
        <v>185</v>
      </c>
      <c r="N64" s="18">
        <f t="shared" si="20"/>
        <v>185</v>
      </c>
      <c r="T64" s="18"/>
      <c r="U64" s="18"/>
    </row>
    <row r="65" spans="2:28">
      <c r="B65" s="29" t="s">
        <v>45</v>
      </c>
      <c r="C65">
        <f t="shared" si="16"/>
        <v>1</v>
      </c>
      <c r="D65">
        <f t="shared" si="16"/>
        <v>500</v>
      </c>
      <c r="F65" s="23"/>
      <c r="G65" s="23"/>
      <c r="H65" s="18">
        <f>MAX(Min_Draw,IF(('Inputs &amp; Outputs'!$F20-'CHP &amp; Energy'!U13)&gt;0,'Inputs &amp; Outputs'!$F20-'CHP &amp; Energy'!U13-'CHP &amp; Energy'!T30,0))</f>
        <v>175</v>
      </c>
      <c r="I65" s="18">
        <f>MAX(Min_Draw,IF(('Inputs &amp; Outputs'!$G20-'CHP &amp; Energy'!U13)&gt;0,'Inputs &amp; Outputs'!$G20-'CHP &amp; Energy'!U13-'CHP &amp; Energy'!T30,0))</f>
        <v>175</v>
      </c>
      <c r="K65" s="18">
        <f t="shared" si="17"/>
        <v>1</v>
      </c>
      <c r="L65" s="18">
        <f t="shared" si="18"/>
        <v>500</v>
      </c>
      <c r="M65" s="18">
        <f t="shared" si="19"/>
        <v>175</v>
      </c>
      <c r="N65" s="18">
        <f t="shared" si="20"/>
        <v>175</v>
      </c>
      <c r="T65" s="18"/>
      <c r="U65" s="18"/>
    </row>
    <row r="66" spans="2:28">
      <c r="B66" s="31" t="s">
        <v>46</v>
      </c>
      <c r="C66">
        <f t="shared" si="16"/>
        <v>1</v>
      </c>
      <c r="D66">
        <f t="shared" si="16"/>
        <v>500</v>
      </c>
      <c r="F66" s="23"/>
      <c r="G66" s="23"/>
      <c r="H66" s="18">
        <f>MAX(Min_Draw,IF(('Inputs &amp; Outputs'!$F21-'CHP &amp; Energy'!U14)&gt;0,'Inputs &amp; Outputs'!$F21-'CHP &amp; Energy'!U14-'CHP &amp; Energy'!T31,0))</f>
        <v>185</v>
      </c>
      <c r="I66" s="18">
        <f>MAX(Min_Draw,IF(('Inputs &amp; Outputs'!$G21-'CHP &amp; Energy'!U14)&gt;0,'Inputs &amp; Outputs'!$G21-'CHP &amp; Energy'!U14-'CHP &amp; Energy'!T31,0))</f>
        <v>185</v>
      </c>
      <c r="K66" s="18">
        <f t="shared" si="17"/>
        <v>1</v>
      </c>
      <c r="L66" s="18">
        <f t="shared" si="18"/>
        <v>500</v>
      </c>
      <c r="M66" s="396">
        <f t="shared" si="19"/>
        <v>185</v>
      </c>
      <c r="N66" s="18">
        <f t="shared" si="20"/>
        <v>185</v>
      </c>
      <c r="T66" s="18"/>
      <c r="U66" s="18"/>
    </row>
    <row r="67" spans="2:28">
      <c r="B67" s="29" t="s">
        <v>47</v>
      </c>
      <c r="C67">
        <f t="shared" si="16"/>
        <v>1</v>
      </c>
      <c r="D67">
        <f t="shared" si="16"/>
        <v>500</v>
      </c>
      <c r="F67" s="23"/>
      <c r="G67" s="23"/>
      <c r="H67" s="18">
        <f>MAX(Min_Draw,IF(('Inputs &amp; Outputs'!$F22-'CHP &amp; Energy'!U15)&gt;0,'Inputs &amp; Outputs'!$F22-'CHP &amp; Energy'!U15-'CHP &amp; Energy'!T32,0))</f>
        <v>185</v>
      </c>
      <c r="I67" s="18">
        <f>MAX(Min_Draw,IF(('Inputs &amp; Outputs'!$G22-'CHP &amp; Energy'!U15)&gt;0,'Inputs &amp; Outputs'!$G22-'CHP &amp; Energy'!U15-'CHP &amp; Energy'!T32,0))</f>
        <v>185</v>
      </c>
      <c r="K67" s="18">
        <f t="shared" si="17"/>
        <v>1</v>
      </c>
      <c r="L67" s="18">
        <f t="shared" si="18"/>
        <v>500</v>
      </c>
      <c r="M67" s="396">
        <f t="shared" si="19"/>
        <v>185</v>
      </c>
      <c r="N67" s="18">
        <f t="shared" si="20"/>
        <v>185</v>
      </c>
      <c r="T67" s="18"/>
      <c r="U67" s="18"/>
    </row>
    <row r="68" spans="2:28">
      <c r="T68" s="18"/>
      <c r="U68" s="18"/>
    </row>
    <row r="69" spans="2:28">
      <c r="T69" s="18"/>
      <c r="U69" s="18"/>
    </row>
    <row r="70" spans="2:28" ht="13">
      <c r="B70" s="13" t="s">
        <v>107</v>
      </c>
      <c r="T70" s="18"/>
      <c r="U70" s="18"/>
    </row>
    <row r="71" spans="2:28">
      <c r="B71" s="14" t="s">
        <v>111</v>
      </c>
      <c r="C71" s="21"/>
      <c r="D71" s="21"/>
      <c r="E71" s="21" t="s">
        <v>63</v>
      </c>
      <c r="F71" s="21" t="s">
        <v>27</v>
      </c>
      <c r="G71" s="21" t="s">
        <v>27</v>
      </c>
      <c r="H71" s="21" t="s">
        <v>28</v>
      </c>
      <c r="I71" s="21" t="s">
        <v>28</v>
      </c>
      <c r="J71" s="21"/>
      <c r="P71" s="14" t="s">
        <v>381</v>
      </c>
      <c r="T71" s="18"/>
      <c r="U71" s="18"/>
      <c r="W71" s="14" t="s">
        <v>382</v>
      </c>
    </row>
    <row r="72" spans="2:28">
      <c r="B72" s="2" t="s">
        <v>0</v>
      </c>
      <c r="C72" s="21" t="s">
        <v>30</v>
      </c>
      <c r="D72" s="21" t="s">
        <v>31</v>
      </c>
      <c r="E72" s="21" t="s">
        <v>64</v>
      </c>
      <c r="F72" s="21" t="s">
        <v>32</v>
      </c>
      <c r="G72" s="21" t="s">
        <v>33</v>
      </c>
      <c r="H72" s="21" t="s">
        <v>32</v>
      </c>
      <c r="I72" s="21" t="s">
        <v>33</v>
      </c>
      <c r="J72" s="21"/>
      <c r="M72" s="493" t="s">
        <v>83</v>
      </c>
      <c r="N72" s="493"/>
      <c r="O72" s="81"/>
      <c r="P72" s="21" t="s">
        <v>27</v>
      </c>
      <c r="Q72" s="21" t="s">
        <v>27</v>
      </c>
      <c r="R72" s="21" t="s">
        <v>28</v>
      </c>
      <c r="S72" s="21" t="s">
        <v>28</v>
      </c>
      <c r="T72" s="18"/>
      <c r="U72" s="18"/>
      <c r="W72" s="21" t="s">
        <v>27</v>
      </c>
      <c r="X72" s="21" t="s">
        <v>27</v>
      </c>
      <c r="Y72" s="21" t="s">
        <v>28</v>
      </c>
      <c r="Z72" s="21" t="s">
        <v>28</v>
      </c>
    </row>
    <row r="73" spans="2:28">
      <c r="B73" s="2"/>
      <c r="C73" s="6"/>
      <c r="D73" s="6"/>
      <c r="E73" s="6"/>
      <c r="F73" s="6"/>
      <c r="K73" s="21" t="s">
        <v>71</v>
      </c>
      <c r="L73" s="21" t="s">
        <v>72</v>
      </c>
      <c r="M73" s="21" t="s">
        <v>73</v>
      </c>
      <c r="N73" s="21" t="s">
        <v>74</v>
      </c>
      <c r="O73" s="53"/>
      <c r="P73" s="21" t="s">
        <v>32</v>
      </c>
      <c r="Q73" s="21" t="s">
        <v>33</v>
      </c>
      <c r="R73" s="21" t="s">
        <v>32</v>
      </c>
      <c r="S73" s="21" t="s">
        <v>33</v>
      </c>
      <c r="T73" s="21" t="s">
        <v>73</v>
      </c>
      <c r="U73" s="21" t="s">
        <v>74</v>
      </c>
      <c r="W73" s="21" t="s">
        <v>32</v>
      </c>
      <c r="X73" s="21" t="s">
        <v>33</v>
      </c>
      <c r="Y73" s="21" t="s">
        <v>32</v>
      </c>
      <c r="Z73" s="21" t="s">
        <v>33</v>
      </c>
      <c r="AA73" s="21" t="s">
        <v>73</v>
      </c>
      <c r="AB73" s="21" t="s">
        <v>74</v>
      </c>
    </row>
    <row r="74" spans="2:28">
      <c r="B74" s="11" t="s">
        <v>37</v>
      </c>
      <c r="C74">
        <f>C24*C7</f>
        <v>908.12</v>
      </c>
      <c r="D74">
        <f t="shared" ref="C74:D85" si="21">D24*D7</f>
        <v>2705</v>
      </c>
      <c r="E74" s="14">
        <f>Tables!G56</f>
        <v>22</v>
      </c>
      <c r="F74" s="22">
        <f t="shared" ref="F74:G85" si="22">F24*F7*$E74</f>
        <v>0</v>
      </c>
      <c r="G74" s="22">
        <f t="shared" si="22"/>
        <v>0</v>
      </c>
      <c r="H74" s="22">
        <f>H7*H24*$E74</f>
        <v>0</v>
      </c>
      <c r="I74" s="22">
        <f>I7*I24*$E74</f>
        <v>0</v>
      </c>
      <c r="J74" s="15"/>
      <c r="K74" s="18">
        <f>K24*K7</f>
        <v>377.13833333333338</v>
      </c>
      <c r="L74" s="18">
        <f>L24*L7</f>
        <v>893.33333333333337</v>
      </c>
      <c r="M74" s="399">
        <f t="shared" ref="M74:N85" si="23">(M24*M7)*$E74</f>
        <v>0</v>
      </c>
      <c r="N74" s="22">
        <f t="shared" si="23"/>
        <v>0</v>
      </c>
      <c r="O74" s="82"/>
      <c r="P74" s="22">
        <f>P24*F7*$E74</f>
        <v>0</v>
      </c>
      <c r="Q74" s="22">
        <f t="shared" ref="Q74:Q85" si="24">Q24*G7*$E74</f>
        <v>0</v>
      </c>
      <c r="R74" s="22">
        <f t="shared" ref="R74:R85" si="25">R24*H7*$E74</f>
        <v>0</v>
      </c>
      <c r="S74" s="22">
        <f t="shared" ref="S74:S85" si="26">S24*I7*$E74</f>
        <v>0</v>
      </c>
      <c r="T74" s="22">
        <f t="shared" ref="T74:T85" si="27">T24*M7*$E74</f>
        <v>0</v>
      </c>
      <c r="U74" s="22">
        <f t="shared" ref="U74:U85" si="28">U24*N7*$E74</f>
        <v>0</v>
      </c>
      <c r="W74" s="22">
        <f t="shared" ref="W74:W85" si="29">W24*F7*$E74</f>
        <v>0</v>
      </c>
      <c r="X74" s="22">
        <f t="shared" ref="X74:X85" si="30">X24*G7*$E74</f>
        <v>0</v>
      </c>
      <c r="Y74" s="22">
        <f t="shared" ref="Y74:Y85" si="31">Y24*H7*$E74</f>
        <v>0</v>
      </c>
      <c r="Z74" s="22">
        <f>Z24*I7*$E74</f>
        <v>5376.8</v>
      </c>
      <c r="AA74" s="22">
        <f t="shared" ref="AA74:AA85" si="32">AA24*M7*$E74</f>
        <v>0</v>
      </c>
      <c r="AB74" s="22">
        <f t="shared" ref="AB74:AB85" si="33">AB24*N7*$E74</f>
        <v>1855.2545000000005</v>
      </c>
    </row>
    <row r="75" spans="2:28">
      <c r="B75" s="12" t="s">
        <v>38</v>
      </c>
      <c r="C75">
        <f t="shared" si="21"/>
        <v>908.12</v>
      </c>
      <c r="D75">
        <f t="shared" si="21"/>
        <v>2705</v>
      </c>
      <c r="E75" s="14">
        <f>Tables!G57</f>
        <v>20</v>
      </c>
      <c r="F75" s="22">
        <f t="shared" si="22"/>
        <v>0</v>
      </c>
      <c r="G75" s="22">
        <f t="shared" si="22"/>
        <v>0</v>
      </c>
      <c r="H75" s="22">
        <f t="shared" ref="H75:I85" si="34">H25*H8*$E75</f>
        <v>0</v>
      </c>
      <c r="I75" s="22">
        <f t="shared" si="34"/>
        <v>0</v>
      </c>
      <c r="J75" s="15"/>
      <c r="K75" s="18">
        <f t="shared" ref="K75:L85" si="35">K25*K8</f>
        <v>377.13833333333338</v>
      </c>
      <c r="L75" s="18">
        <f t="shared" si="35"/>
        <v>893.33333333333337</v>
      </c>
      <c r="M75" s="399">
        <f t="shared" si="23"/>
        <v>0</v>
      </c>
      <c r="N75" s="22">
        <f t="shared" si="23"/>
        <v>0</v>
      </c>
      <c r="O75" s="82"/>
      <c r="P75" s="22">
        <f t="shared" ref="P75:P85" si="36">P25*F8*$E75</f>
        <v>0</v>
      </c>
      <c r="Q75" s="22">
        <f t="shared" si="24"/>
        <v>0</v>
      </c>
      <c r="R75" s="22">
        <f t="shared" si="25"/>
        <v>0</v>
      </c>
      <c r="S75" s="22">
        <f t="shared" si="26"/>
        <v>0</v>
      </c>
      <c r="T75" s="22">
        <f t="shared" si="27"/>
        <v>0</v>
      </c>
      <c r="U75" s="22">
        <f t="shared" si="28"/>
        <v>0</v>
      </c>
      <c r="W75" s="22">
        <f t="shared" si="29"/>
        <v>0</v>
      </c>
      <c r="X75" s="22">
        <f t="shared" si="30"/>
        <v>0</v>
      </c>
      <c r="Y75" s="22">
        <f t="shared" si="31"/>
        <v>0</v>
      </c>
      <c r="Z75" s="22">
        <f t="shared" ref="Z75:Z85" si="37">Z25*I8*$E75</f>
        <v>4888</v>
      </c>
      <c r="AA75" s="22">
        <f t="shared" si="32"/>
        <v>0</v>
      </c>
      <c r="AB75" s="22">
        <f t="shared" si="33"/>
        <v>1686.5950000000003</v>
      </c>
    </row>
    <row r="76" spans="2:28">
      <c r="B76" s="11" t="s">
        <v>39</v>
      </c>
      <c r="C76">
        <f t="shared" si="21"/>
        <v>908.12</v>
      </c>
      <c r="D76">
        <f t="shared" si="21"/>
        <v>2705</v>
      </c>
      <c r="E76" s="14">
        <f>Tables!G58</f>
        <v>22</v>
      </c>
      <c r="F76" s="22">
        <f t="shared" si="22"/>
        <v>0</v>
      </c>
      <c r="G76" s="22">
        <f t="shared" si="22"/>
        <v>0</v>
      </c>
      <c r="H76" s="22">
        <f t="shared" si="34"/>
        <v>0</v>
      </c>
      <c r="I76" s="22">
        <f t="shared" si="34"/>
        <v>0</v>
      </c>
      <c r="J76" s="15"/>
      <c r="K76" s="18">
        <f t="shared" si="35"/>
        <v>377.13833333333338</v>
      </c>
      <c r="L76" s="18">
        <f t="shared" si="35"/>
        <v>893.33333333333337</v>
      </c>
      <c r="M76" s="399">
        <f t="shared" si="23"/>
        <v>0</v>
      </c>
      <c r="N76" s="22">
        <f t="shared" si="23"/>
        <v>0</v>
      </c>
      <c r="O76" s="82"/>
      <c r="P76" s="22">
        <f t="shared" si="36"/>
        <v>0</v>
      </c>
      <c r="Q76" s="22">
        <f t="shared" si="24"/>
        <v>0</v>
      </c>
      <c r="R76" s="22">
        <f t="shared" si="25"/>
        <v>0</v>
      </c>
      <c r="S76" s="22">
        <f t="shared" si="26"/>
        <v>0</v>
      </c>
      <c r="T76" s="22">
        <f t="shared" si="27"/>
        <v>0</v>
      </c>
      <c r="U76" s="22">
        <f t="shared" si="28"/>
        <v>0</v>
      </c>
      <c r="W76" s="22">
        <f t="shared" si="29"/>
        <v>0</v>
      </c>
      <c r="X76" s="22">
        <f t="shared" si="30"/>
        <v>0</v>
      </c>
      <c r="Y76" s="22">
        <f t="shared" si="31"/>
        <v>0</v>
      </c>
      <c r="Z76" s="22">
        <f t="shared" si="37"/>
        <v>5376.8</v>
      </c>
      <c r="AA76" s="22">
        <f t="shared" si="32"/>
        <v>0</v>
      </c>
      <c r="AB76" s="22">
        <f t="shared" si="33"/>
        <v>1855.2545000000005</v>
      </c>
    </row>
    <row r="77" spans="2:28">
      <c r="B77" s="12" t="s">
        <v>40</v>
      </c>
      <c r="C77">
        <f t="shared" si="21"/>
        <v>908.12</v>
      </c>
      <c r="D77">
        <f t="shared" si="21"/>
        <v>2705</v>
      </c>
      <c r="E77" s="14">
        <f>Tables!G59</f>
        <v>21</v>
      </c>
      <c r="F77" s="22">
        <f t="shared" si="22"/>
        <v>0</v>
      </c>
      <c r="G77" s="22">
        <f t="shared" si="22"/>
        <v>0</v>
      </c>
      <c r="H77" s="22">
        <f t="shared" si="34"/>
        <v>0</v>
      </c>
      <c r="I77" s="22">
        <f t="shared" si="34"/>
        <v>0</v>
      </c>
      <c r="J77" s="15"/>
      <c r="K77" s="18">
        <f t="shared" si="35"/>
        <v>377.13833333333338</v>
      </c>
      <c r="L77" s="18">
        <f t="shared" si="35"/>
        <v>893.33333333333337</v>
      </c>
      <c r="M77" s="399">
        <f t="shared" si="23"/>
        <v>0</v>
      </c>
      <c r="N77" s="22">
        <f t="shared" si="23"/>
        <v>0</v>
      </c>
      <c r="O77" s="82"/>
      <c r="P77" s="22">
        <f t="shared" si="36"/>
        <v>0</v>
      </c>
      <c r="Q77" s="22">
        <f t="shared" si="24"/>
        <v>0</v>
      </c>
      <c r="R77" s="22">
        <f t="shared" si="25"/>
        <v>0</v>
      </c>
      <c r="S77" s="22">
        <f t="shared" si="26"/>
        <v>0</v>
      </c>
      <c r="T77" s="22">
        <f t="shared" si="27"/>
        <v>0</v>
      </c>
      <c r="U77" s="22">
        <f t="shared" si="28"/>
        <v>0</v>
      </c>
      <c r="W77" s="22">
        <f t="shared" si="29"/>
        <v>0</v>
      </c>
      <c r="X77" s="22">
        <f t="shared" si="30"/>
        <v>0</v>
      </c>
      <c r="Y77" s="22">
        <f t="shared" si="31"/>
        <v>0</v>
      </c>
      <c r="Z77" s="22">
        <f t="shared" si="37"/>
        <v>5023.2000000000007</v>
      </c>
      <c r="AA77" s="22">
        <f t="shared" si="32"/>
        <v>0</v>
      </c>
      <c r="AB77" s="22">
        <f t="shared" si="33"/>
        <v>1733.2455000000002</v>
      </c>
    </row>
    <row r="78" spans="2:28">
      <c r="B78" s="11" t="s">
        <v>7</v>
      </c>
      <c r="C78">
        <f t="shared" si="21"/>
        <v>908.12</v>
      </c>
      <c r="D78">
        <f t="shared" si="21"/>
        <v>2705</v>
      </c>
      <c r="E78" s="14">
        <f>Tables!G60</f>
        <v>22</v>
      </c>
      <c r="F78" s="22">
        <f t="shared" si="22"/>
        <v>0</v>
      </c>
      <c r="G78" s="22">
        <f t="shared" si="22"/>
        <v>0</v>
      </c>
      <c r="H78" s="22">
        <f t="shared" si="34"/>
        <v>0</v>
      </c>
      <c r="I78" s="22">
        <f t="shared" si="34"/>
        <v>0</v>
      </c>
      <c r="J78" s="15"/>
      <c r="K78" s="18">
        <f t="shared" si="35"/>
        <v>377.13833333333338</v>
      </c>
      <c r="L78" s="18">
        <f t="shared" si="35"/>
        <v>893.33333333333337</v>
      </c>
      <c r="M78" s="22">
        <f t="shared" si="23"/>
        <v>0</v>
      </c>
      <c r="N78" s="22">
        <f t="shared" si="23"/>
        <v>0</v>
      </c>
      <c r="O78" s="82"/>
      <c r="P78" s="22">
        <f t="shared" si="36"/>
        <v>0</v>
      </c>
      <c r="Q78" s="22">
        <f t="shared" si="24"/>
        <v>0</v>
      </c>
      <c r="R78" s="22">
        <f t="shared" si="25"/>
        <v>0</v>
      </c>
      <c r="S78" s="22">
        <f t="shared" si="26"/>
        <v>0</v>
      </c>
      <c r="T78" s="22">
        <f t="shared" si="27"/>
        <v>0</v>
      </c>
      <c r="U78" s="22">
        <f t="shared" si="28"/>
        <v>0</v>
      </c>
      <c r="W78" s="22">
        <f t="shared" si="29"/>
        <v>0</v>
      </c>
      <c r="X78" s="22">
        <f t="shared" si="30"/>
        <v>0</v>
      </c>
      <c r="Y78" s="22">
        <f t="shared" si="31"/>
        <v>0</v>
      </c>
      <c r="Z78" s="22">
        <f t="shared" si="37"/>
        <v>5720</v>
      </c>
      <c r="AA78" s="22">
        <f t="shared" si="32"/>
        <v>173.61666666666667</v>
      </c>
      <c r="AB78" s="22">
        <f t="shared" si="33"/>
        <v>1973.6750000000004</v>
      </c>
    </row>
    <row r="79" spans="2:28">
      <c r="B79" s="12" t="s">
        <v>41</v>
      </c>
      <c r="C79">
        <f t="shared" si="21"/>
        <v>908.12</v>
      </c>
      <c r="D79">
        <f t="shared" si="21"/>
        <v>2705</v>
      </c>
      <c r="E79" s="14">
        <f>Tables!G61</f>
        <v>21</v>
      </c>
      <c r="F79" s="22">
        <f t="shared" si="22"/>
        <v>0</v>
      </c>
      <c r="G79" s="22">
        <f t="shared" si="22"/>
        <v>0</v>
      </c>
      <c r="H79" s="22">
        <f t="shared" si="34"/>
        <v>0</v>
      </c>
      <c r="I79" s="22">
        <f t="shared" si="34"/>
        <v>0</v>
      </c>
      <c r="J79" s="18"/>
      <c r="K79" s="18">
        <f t="shared" si="35"/>
        <v>377.13833333333338</v>
      </c>
      <c r="L79" s="18">
        <f t="shared" si="35"/>
        <v>893.33333333333337</v>
      </c>
      <c r="M79" s="22">
        <f t="shared" si="23"/>
        <v>0</v>
      </c>
      <c r="N79" s="22">
        <f t="shared" si="23"/>
        <v>0</v>
      </c>
      <c r="O79" s="82"/>
      <c r="P79" s="22">
        <f t="shared" si="36"/>
        <v>0</v>
      </c>
      <c r="Q79" s="22">
        <f t="shared" si="24"/>
        <v>0</v>
      </c>
      <c r="R79" s="22">
        <f t="shared" si="25"/>
        <v>0</v>
      </c>
      <c r="S79" s="22">
        <f t="shared" si="26"/>
        <v>0</v>
      </c>
      <c r="T79" s="22">
        <f t="shared" si="27"/>
        <v>0</v>
      </c>
      <c r="U79" s="22">
        <f t="shared" si="28"/>
        <v>0</v>
      </c>
      <c r="W79" s="22">
        <f t="shared" si="29"/>
        <v>3601.3382999999999</v>
      </c>
      <c r="X79" s="22">
        <f t="shared" si="30"/>
        <v>7270.0109999999995</v>
      </c>
      <c r="Y79" s="22">
        <f t="shared" si="31"/>
        <v>0</v>
      </c>
      <c r="Z79" s="22">
        <f t="shared" si="37"/>
        <v>0</v>
      </c>
      <c r="AA79" s="22">
        <f t="shared" si="32"/>
        <v>166.05644999999998</v>
      </c>
      <c r="AB79" s="22">
        <f t="shared" si="33"/>
        <v>1887.7304250000002</v>
      </c>
    </row>
    <row r="80" spans="2:28">
      <c r="B80" s="11" t="s">
        <v>42</v>
      </c>
      <c r="C80">
        <f t="shared" si="21"/>
        <v>908.12</v>
      </c>
      <c r="D80">
        <f t="shared" si="21"/>
        <v>2705</v>
      </c>
      <c r="E80" s="14">
        <f>Tables!G62</f>
        <v>22</v>
      </c>
      <c r="F80" s="22">
        <f t="shared" si="22"/>
        <v>0</v>
      </c>
      <c r="G80" s="22">
        <f t="shared" si="22"/>
        <v>0</v>
      </c>
      <c r="H80" s="22">
        <f t="shared" si="34"/>
        <v>0</v>
      </c>
      <c r="I80" s="22">
        <f t="shared" si="34"/>
        <v>0</v>
      </c>
      <c r="J80" s="18"/>
      <c r="K80" s="18">
        <f t="shared" si="35"/>
        <v>377.13833333333338</v>
      </c>
      <c r="L80" s="18">
        <f t="shared" si="35"/>
        <v>893.33333333333337</v>
      </c>
      <c r="M80" s="22">
        <f t="shared" si="23"/>
        <v>0</v>
      </c>
      <c r="N80" s="22">
        <f t="shared" si="23"/>
        <v>0</v>
      </c>
      <c r="O80" s="82"/>
      <c r="P80" s="22">
        <f t="shared" si="36"/>
        <v>0</v>
      </c>
      <c r="Q80" s="22">
        <f t="shared" si="24"/>
        <v>0</v>
      </c>
      <c r="R80" s="22">
        <f t="shared" si="25"/>
        <v>0</v>
      </c>
      <c r="S80" s="22">
        <f t="shared" si="26"/>
        <v>0</v>
      </c>
      <c r="T80" s="22">
        <f t="shared" si="27"/>
        <v>0</v>
      </c>
      <c r="U80" s="22">
        <f t="shared" si="28"/>
        <v>0</v>
      </c>
      <c r="W80" s="22">
        <f t="shared" si="29"/>
        <v>7538.1305999999995</v>
      </c>
      <c r="X80" s="22">
        <f t="shared" si="30"/>
        <v>15217.201999999997</v>
      </c>
      <c r="Y80" s="22">
        <f t="shared" si="31"/>
        <v>0</v>
      </c>
      <c r="Z80" s="22">
        <f t="shared" si="37"/>
        <v>0</v>
      </c>
      <c r="AA80" s="22">
        <f t="shared" si="32"/>
        <v>347.58056666666664</v>
      </c>
      <c r="AB80" s="22">
        <f t="shared" si="33"/>
        <v>3951.2973500000003</v>
      </c>
    </row>
    <row r="81" spans="1:28">
      <c r="B81" s="12" t="s">
        <v>43</v>
      </c>
      <c r="C81">
        <f t="shared" si="21"/>
        <v>908.12</v>
      </c>
      <c r="D81">
        <f t="shared" si="21"/>
        <v>2705</v>
      </c>
      <c r="E81" s="14">
        <f>Tables!G63</f>
        <v>22</v>
      </c>
      <c r="F81" s="22">
        <f t="shared" si="22"/>
        <v>0</v>
      </c>
      <c r="G81" s="22">
        <f t="shared" si="22"/>
        <v>0</v>
      </c>
      <c r="H81" s="22">
        <f t="shared" si="34"/>
        <v>0</v>
      </c>
      <c r="I81" s="22">
        <f t="shared" si="34"/>
        <v>0</v>
      </c>
      <c r="J81" s="18"/>
      <c r="K81" s="18">
        <f t="shared" si="35"/>
        <v>377.13833333333338</v>
      </c>
      <c r="L81" s="18">
        <f t="shared" si="35"/>
        <v>893.33333333333337</v>
      </c>
      <c r="M81" s="22">
        <f t="shared" si="23"/>
        <v>0</v>
      </c>
      <c r="N81" s="22">
        <f t="shared" si="23"/>
        <v>0</v>
      </c>
      <c r="O81" s="82"/>
      <c r="P81" s="22">
        <f t="shared" si="36"/>
        <v>0</v>
      </c>
      <c r="Q81" s="22">
        <f t="shared" si="24"/>
        <v>0</v>
      </c>
      <c r="R81" s="22">
        <f t="shared" si="25"/>
        <v>0</v>
      </c>
      <c r="S81" s="22">
        <f t="shared" si="26"/>
        <v>0</v>
      </c>
      <c r="T81" s="22">
        <f t="shared" si="27"/>
        <v>0</v>
      </c>
      <c r="U81" s="22">
        <f t="shared" si="28"/>
        <v>0</v>
      </c>
      <c r="W81" s="22">
        <f t="shared" si="29"/>
        <v>3765.3</v>
      </c>
      <c r="X81" s="22">
        <f t="shared" si="30"/>
        <v>7601</v>
      </c>
      <c r="Y81" s="22">
        <f t="shared" si="31"/>
        <v>0</v>
      </c>
      <c r="Z81" s="22">
        <f t="shared" si="37"/>
        <v>0</v>
      </c>
      <c r="AA81" s="22">
        <f t="shared" si="32"/>
        <v>173.61666666666667</v>
      </c>
      <c r="AB81" s="22">
        <f t="shared" si="33"/>
        <v>1973.6750000000004</v>
      </c>
    </row>
    <row r="82" spans="1:28">
      <c r="B82" s="11" t="s">
        <v>44</v>
      </c>
      <c r="C82">
        <f t="shared" si="21"/>
        <v>908.12</v>
      </c>
      <c r="D82">
        <f t="shared" si="21"/>
        <v>2705</v>
      </c>
      <c r="E82" s="14">
        <f>Tables!G64</f>
        <v>21</v>
      </c>
      <c r="F82" s="22">
        <f t="shared" si="22"/>
        <v>0</v>
      </c>
      <c r="G82" s="22">
        <f t="shared" si="22"/>
        <v>0</v>
      </c>
      <c r="H82" s="22">
        <f t="shared" si="34"/>
        <v>0</v>
      </c>
      <c r="I82" s="22">
        <f t="shared" si="34"/>
        <v>0</v>
      </c>
      <c r="J82" s="18"/>
      <c r="K82" s="18">
        <f t="shared" si="35"/>
        <v>377.13833333333338</v>
      </c>
      <c r="L82" s="18">
        <f t="shared" si="35"/>
        <v>893.33333333333337</v>
      </c>
      <c r="M82" s="22">
        <f t="shared" si="23"/>
        <v>0</v>
      </c>
      <c r="N82" s="22">
        <f t="shared" si="23"/>
        <v>0</v>
      </c>
      <c r="O82" s="82"/>
      <c r="P82" s="22">
        <f t="shared" si="36"/>
        <v>0</v>
      </c>
      <c r="Q82" s="22">
        <f t="shared" si="24"/>
        <v>0</v>
      </c>
      <c r="R82" s="22">
        <f t="shared" si="25"/>
        <v>0</v>
      </c>
      <c r="S82" s="22">
        <f t="shared" si="26"/>
        <v>0</v>
      </c>
      <c r="T82" s="22">
        <f t="shared" si="27"/>
        <v>0</v>
      </c>
      <c r="U82" s="22">
        <f t="shared" si="28"/>
        <v>0</v>
      </c>
      <c r="W82" s="22">
        <f t="shared" si="29"/>
        <v>3594.15</v>
      </c>
      <c r="X82" s="22">
        <f t="shared" si="30"/>
        <v>7255.5</v>
      </c>
      <c r="Y82" s="22">
        <f t="shared" si="31"/>
        <v>0</v>
      </c>
      <c r="Z82" s="22">
        <f t="shared" si="37"/>
        <v>0</v>
      </c>
      <c r="AA82" s="22">
        <f t="shared" si="32"/>
        <v>165.72499999999999</v>
      </c>
      <c r="AB82" s="22">
        <f t="shared" si="33"/>
        <v>1883.9625000000003</v>
      </c>
    </row>
    <row r="83" spans="1:28">
      <c r="B83" s="12" t="s">
        <v>45</v>
      </c>
      <c r="C83">
        <f t="shared" si="21"/>
        <v>908.12</v>
      </c>
      <c r="D83">
        <f t="shared" si="21"/>
        <v>2705</v>
      </c>
      <c r="E83" s="14">
        <f>Tables!G65</f>
        <v>22</v>
      </c>
      <c r="F83" s="22">
        <f t="shared" si="22"/>
        <v>0</v>
      </c>
      <c r="G83" s="22">
        <f t="shared" si="22"/>
        <v>0</v>
      </c>
      <c r="H83" s="22">
        <f t="shared" si="34"/>
        <v>0</v>
      </c>
      <c r="I83" s="22">
        <f t="shared" si="34"/>
        <v>0</v>
      </c>
      <c r="J83" s="15"/>
      <c r="K83" s="18">
        <f t="shared" si="35"/>
        <v>377.13833333333338</v>
      </c>
      <c r="L83" s="18">
        <f t="shared" si="35"/>
        <v>893.33333333333337</v>
      </c>
      <c r="M83" s="22">
        <f t="shared" si="23"/>
        <v>0</v>
      </c>
      <c r="N83" s="22">
        <f t="shared" si="23"/>
        <v>0</v>
      </c>
      <c r="O83" s="82"/>
      <c r="P83" s="22">
        <f t="shared" si="36"/>
        <v>0</v>
      </c>
      <c r="Q83" s="22">
        <f t="shared" si="24"/>
        <v>0</v>
      </c>
      <c r="R83" s="22">
        <f t="shared" si="25"/>
        <v>0</v>
      </c>
      <c r="S83" s="22">
        <f t="shared" si="26"/>
        <v>0</v>
      </c>
      <c r="T83" s="22">
        <f t="shared" si="27"/>
        <v>0</v>
      </c>
      <c r="U83" s="22">
        <f t="shared" si="28"/>
        <v>0</v>
      </c>
      <c r="W83" s="22">
        <f t="shared" si="29"/>
        <v>0</v>
      </c>
      <c r="X83" s="22">
        <f t="shared" si="30"/>
        <v>0</v>
      </c>
      <c r="Y83" s="22">
        <f t="shared" si="31"/>
        <v>0</v>
      </c>
      <c r="Z83" s="22">
        <f t="shared" si="37"/>
        <v>5262.4000000000005</v>
      </c>
      <c r="AA83" s="22">
        <f t="shared" si="32"/>
        <v>159.72733333333335</v>
      </c>
      <c r="AB83" s="22">
        <f t="shared" si="33"/>
        <v>1815.7810000000004</v>
      </c>
    </row>
    <row r="84" spans="1:28">
      <c r="B84" s="11" t="s">
        <v>46</v>
      </c>
      <c r="C84">
        <f t="shared" si="21"/>
        <v>908.12</v>
      </c>
      <c r="D84">
        <f t="shared" si="21"/>
        <v>2705</v>
      </c>
      <c r="E84" s="14">
        <f>Tables!G66</f>
        <v>21</v>
      </c>
      <c r="F84" s="22">
        <f t="shared" si="22"/>
        <v>0</v>
      </c>
      <c r="G84" s="22">
        <f t="shared" si="22"/>
        <v>0</v>
      </c>
      <c r="H84" s="22">
        <f t="shared" si="34"/>
        <v>0</v>
      </c>
      <c r="I84" s="22">
        <f t="shared" si="34"/>
        <v>0</v>
      </c>
      <c r="J84" s="15"/>
      <c r="K84" s="18">
        <f t="shared" si="35"/>
        <v>377.13833333333338</v>
      </c>
      <c r="L84" s="18">
        <f t="shared" si="35"/>
        <v>893.33333333333337</v>
      </c>
      <c r="M84" s="399">
        <f t="shared" si="23"/>
        <v>0</v>
      </c>
      <c r="N84" s="22">
        <f t="shared" si="23"/>
        <v>0</v>
      </c>
      <c r="O84" s="82"/>
      <c r="P84" s="22">
        <f t="shared" si="36"/>
        <v>0</v>
      </c>
      <c r="Q84" s="22">
        <f t="shared" si="24"/>
        <v>0</v>
      </c>
      <c r="R84" s="22">
        <f t="shared" si="25"/>
        <v>0</v>
      </c>
      <c r="S84" s="22">
        <f t="shared" si="26"/>
        <v>0</v>
      </c>
      <c r="T84" s="22">
        <f t="shared" si="27"/>
        <v>0</v>
      </c>
      <c r="U84" s="22">
        <f t="shared" si="28"/>
        <v>0</v>
      </c>
      <c r="W84" s="22">
        <f t="shared" si="29"/>
        <v>0</v>
      </c>
      <c r="X84" s="22">
        <f t="shared" si="30"/>
        <v>0</v>
      </c>
      <c r="Y84" s="22">
        <f t="shared" si="31"/>
        <v>0</v>
      </c>
      <c r="Z84" s="22">
        <f t="shared" si="37"/>
        <v>5132.4000000000005</v>
      </c>
      <c r="AA84" s="22">
        <f t="shared" si="32"/>
        <v>0</v>
      </c>
      <c r="AB84" s="22">
        <f t="shared" si="33"/>
        <v>1770.9247500000004</v>
      </c>
    </row>
    <row r="85" spans="1:28">
      <c r="B85" s="12" t="s">
        <v>47</v>
      </c>
      <c r="C85">
        <f t="shared" si="21"/>
        <v>908.12</v>
      </c>
      <c r="D85">
        <f t="shared" si="21"/>
        <v>2705</v>
      </c>
      <c r="E85" s="14">
        <f>Tables!G67</f>
        <v>22</v>
      </c>
      <c r="F85" s="22">
        <f t="shared" si="22"/>
        <v>0</v>
      </c>
      <c r="G85" s="22">
        <f t="shared" si="22"/>
        <v>0</v>
      </c>
      <c r="H85" s="22">
        <f t="shared" si="34"/>
        <v>0</v>
      </c>
      <c r="I85" s="22">
        <f t="shared" si="34"/>
        <v>0</v>
      </c>
      <c r="J85" s="15"/>
      <c r="K85" s="18">
        <f t="shared" si="35"/>
        <v>377.13833333333338</v>
      </c>
      <c r="L85" s="18">
        <f t="shared" si="35"/>
        <v>893.33333333333337</v>
      </c>
      <c r="M85" s="399">
        <f t="shared" si="23"/>
        <v>0</v>
      </c>
      <c r="N85" s="22">
        <f t="shared" si="23"/>
        <v>0</v>
      </c>
      <c r="O85" s="82"/>
      <c r="P85" s="22">
        <f t="shared" si="36"/>
        <v>0</v>
      </c>
      <c r="Q85" s="22">
        <f t="shared" si="24"/>
        <v>0</v>
      </c>
      <c r="R85" s="22">
        <f t="shared" si="25"/>
        <v>0</v>
      </c>
      <c r="S85" s="22">
        <f t="shared" si="26"/>
        <v>0</v>
      </c>
      <c r="T85" s="22">
        <f t="shared" si="27"/>
        <v>0</v>
      </c>
      <c r="U85" s="22">
        <f t="shared" si="28"/>
        <v>0</v>
      </c>
      <c r="W85" s="22">
        <f t="shared" si="29"/>
        <v>0</v>
      </c>
      <c r="X85" s="22">
        <f t="shared" si="30"/>
        <v>0</v>
      </c>
      <c r="Y85" s="22">
        <f t="shared" si="31"/>
        <v>0</v>
      </c>
      <c r="Z85" s="22">
        <f t="shared" si="37"/>
        <v>5376.8</v>
      </c>
      <c r="AA85" s="22">
        <f t="shared" si="32"/>
        <v>0</v>
      </c>
      <c r="AB85" s="22">
        <f t="shared" si="33"/>
        <v>1855.2545000000005</v>
      </c>
    </row>
    <row r="86" spans="1:28">
      <c r="F86" s="22"/>
      <c r="G86" s="22"/>
      <c r="H86" s="22"/>
      <c r="I86" s="22"/>
      <c r="M86" s="22"/>
      <c r="N86" s="22"/>
      <c r="O86" s="82"/>
      <c r="T86" s="18"/>
      <c r="U86" s="18"/>
    </row>
    <row r="87" spans="1:28">
      <c r="B87" t="s">
        <v>51</v>
      </c>
      <c r="C87" s="131">
        <f>SUM(C74:C86)</f>
        <v>10897.440000000002</v>
      </c>
      <c r="D87" s="131">
        <f>SUM(D74:D86)</f>
        <v>32460</v>
      </c>
      <c r="E87" s="376"/>
      <c r="F87" s="85">
        <f>SUM(F74:F86)</f>
        <v>0</v>
      </c>
      <c r="G87" s="85">
        <f>SUM(G74:G86)</f>
        <v>0</v>
      </c>
      <c r="H87" s="85">
        <f>SUM(H74:H86)</f>
        <v>0</v>
      </c>
      <c r="I87" s="85">
        <f>SUM(I74:I86)</f>
        <v>0</v>
      </c>
      <c r="J87" s="15"/>
      <c r="K87" s="85">
        <f>SUM(K74:K86)</f>
        <v>4525.6600000000008</v>
      </c>
      <c r="L87" s="85">
        <f>SUM(L74:L86)</f>
        <v>10720</v>
      </c>
      <c r="M87" s="85">
        <f>SUM(M74:M86)</f>
        <v>0</v>
      </c>
      <c r="N87" s="85">
        <f>SUM(N74:N86)</f>
        <v>0</v>
      </c>
      <c r="O87" s="82"/>
      <c r="P87" s="85">
        <f t="shared" ref="P87:W87" si="38">SUM(P74:P86)</f>
        <v>0</v>
      </c>
      <c r="Q87" s="85">
        <f t="shared" si="38"/>
        <v>0</v>
      </c>
      <c r="R87" s="85">
        <f t="shared" si="38"/>
        <v>0</v>
      </c>
      <c r="S87" s="85">
        <f t="shared" si="38"/>
        <v>0</v>
      </c>
      <c r="T87" s="85">
        <f t="shared" si="38"/>
        <v>0</v>
      </c>
      <c r="U87" s="85">
        <f t="shared" si="38"/>
        <v>0</v>
      </c>
      <c r="W87" s="85">
        <f t="shared" si="38"/>
        <v>18498.918900000001</v>
      </c>
      <c r="X87" s="85">
        <f>SUM(X74:X86)</f>
        <v>37343.712999999996</v>
      </c>
      <c r="Y87" s="85">
        <f>SUM(Y74:Y86)</f>
        <v>0</v>
      </c>
      <c r="Z87" s="85">
        <f>SUM(Z74:Z86)</f>
        <v>42156.4</v>
      </c>
      <c r="AA87" s="85">
        <f>SUM(AA74:AA86)</f>
        <v>1186.3226833333333</v>
      </c>
      <c r="AB87" s="85">
        <f>SUM(AB74:AB86)</f>
        <v>24242.650025000003</v>
      </c>
    </row>
    <row r="88" spans="1:28">
      <c r="H88" t="s">
        <v>52</v>
      </c>
      <c r="I88" s="393">
        <f>SUM(C87:I87)</f>
        <v>43357.440000000002</v>
      </c>
      <c r="J88" s="16"/>
      <c r="K88" s="16"/>
      <c r="L88" s="16"/>
      <c r="M88" s="22" t="s">
        <v>1</v>
      </c>
      <c r="N88" s="393">
        <f>SUM(K87:N87)</f>
        <v>15245.66</v>
      </c>
      <c r="O88" s="83"/>
      <c r="R88" t="s">
        <v>161</v>
      </c>
      <c r="S88" s="27"/>
      <c r="T88" s="18"/>
      <c r="U88" s="130">
        <f>SUM(P74:U85)</f>
        <v>0</v>
      </c>
      <c r="Z88" t="s">
        <v>169</v>
      </c>
      <c r="AB88" s="246">
        <f>SUM(W74:AB85)</f>
        <v>123428.00460833333</v>
      </c>
    </row>
    <row r="89" spans="1:28">
      <c r="A89" s="6"/>
      <c r="B89" s="6"/>
      <c r="T89" s="18"/>
      <c r="U89" s="18"/>
    </row>
    <row r="90" spans="1:28" ht="13">
      <c r="B90" s="13" t="s">
        <v>109</v>
      </c>
      <c r="T90" s="18"/>
      <c r="U90" s="18"/>
      <c r="W90" s="433" t="s">
        <v>383</v>
      </c>
    </row>
    <row r="91" spans="1:28">
      <c r="B91" s="14" t="s">
        <v>111</v>
      </c>
      <c r="P91" s="14" t="s">
        <v>188</v>
      </c>
      <c r="T91" s="18"/>
      <c r="U91" s="18"/>
      <c r="W91" s="14" t="s">
        <v>411</v>
      </c>
    </row>
    <row r="92" spans="1:28">
      <c r="B92" s="11" t="s">
        <v>37</v>
      </c>
      <c r="C92">
        <f>C40*C7</f>
        <v>908.12</v>
      </c>
      <c r="D92">
        <f t="shared" ref="C92:D103" si="39">D40*D7</f>
        <v>2705</v>
      </c>
      <c r="E92" s="14">
        <f>Tables!G56</f>
        <v>22</v>
      </c>
      <c r="F92" s="22">
        <f t="shared" ref="F92:I103" si="40">F40*F7*$E92</f>
        <v>0</v>
      </c>
      <c r="G92" s="22">
        <f t="shared" si="40"/>
        <v>0</v>
      </c>
      <c r="H92" s="22">
        <f t="shared" si="40"/>
        <v>0</v>
      </c>
      <c r="I92" s="22">
        <f t="shared" si="40"/>
        <v>11.440000000000001</v>
      </c>
      <c r="K92" s="18">
        <f t="shared" ref="K92:L103" si="41">K40*K7</f>
        <v>377.13833333333338</v>
      </c>
      <c r="L92" s="18">
        <f t="shared" si="41"/>
        <v>893.33333333333337</v>
      </c>
      <c r="M92" s="399">
        <f t="shared" ref="M92:N103" si="42">(M40*M7)*$E92</f>
        <v>0</v>
      </c>
      <c r="N92" s="18">
        <f t="shared" si="42"/>
        <v>3.9473500000000006</v>
      </c>
      <c r="O92" s="78"/>
      <c r="P92" s="22">
        <f t="shared" ref="P92:P103" si="43">P40*F7*$E92</f>
        <v>0</v>
      </c>
      <c r="Q92" s="22">
        <f t="shared" ref="Q92:Q103" si="44">Q40*G7*$E92</f>
        <v>0</v>
      </c>
      <c r="R92" s="22">
        <f t="shared" ref="R92:R103" si="45">R40*H7*$E92</f>
        <v>0</v>
      </c>
      <c r="S92" s="22">
        <f t="shared" ref="S92:S103" si="46">S40*I7*$E92</f>
        <v>0</v>
      </c>
      <c r="T92" s="22">
        <f t="shared" ref="T92:T103" si="47">T40*M7*$E92</f>
        <v>0</v>
      </c>
      <c r="U92" s="22">
        <f t="shared" ref="U92:U103" si="48">U40*N7*$E92</f>
        <v>0</v>
      </c>
      <c r="W92" s="22">
        <f t="shared" ref="W92:W103" si="49">W24*F7*$E92</f>
        <v>0</v>
      </c>
      <c r="X92" s="22">
        <f t="shared" ref="X92:X103" si="50">X24*G7*$E92</f>
        <v>0</v>
      </c>
      <c r="Y92" s="22">
        <f t="shared" ref="Y92:Y103" si="51">Y24*H7*$E92</f>
        <v>0</v>
      </c>
      <c r="Z92" s="22">
        <f t="shared" ref="Z92:Z103" si="52">Z24*I7*$E92</f>
        <v>5376.8</v>
      </c>
      <c r="AA92" s="22">
        <f t="shared" ref="AA92:AA103" si="53">AA40*M7*$E92</f>
        <v>0</v>
      </c>
      <c r="AB92" s="22">
        <f t="shared" ref="AB92:AB103" si="54">AB40*N7*$E92</f>
        <v>1855.2545000000005</v>
      </c>
    </row>
    <row r="93" spans="1:28">
      <c r="B93" s="12" t="s">
        <v>38</v>
      </c>
      <c r="C93">
        <f t="shared" si="39"/>
        <v>908.12</v>
      </c>
      <c r="D93">
        <f t="shared" si="39"/>
        <v>2705</v>
      </c>
      <c r="E93" s="14">
        <f>Tables!G57</f>
        <v>20</v>
      </c>
      <c r="F93" s="22">
        <f t="shared" si="40"/>
        <v>0</v>
      </c>
      <c r="G93" s="22">
        <f t="shared" si="40"/>
        <v>0</v>
      </c>
      <c r="H93" s="22">
        <f t="shared" si="40"/>
        <v>0</v>
      </c>
      <c r="I93" s="22">
        <f t="shared" si="40"/>
        <v>10.4</v>
      </c>
      <c r="K93" s="18">
        <f t="shared" si="41"/>
        <v>377.13833333333338</v>
      </c>
      <c r="L93" s="18">
        <f t="shared" si="41"/>
        <v>893.33333333333337</v>
      </c>
      <c r="M93" s="399">
        <f t="shared" si="42"/>
        <v>0</v>
      </c>
      <c r="N93" s="18">
        <f t="shared" si="42"/>
        <v>3.5885000000000007</v>
      </c>
      <c r="O93" s="78"/>
      <c r="P93" s="22">
        <f t="shared" si="43"/>
        <v>0</v>
      </c>
      <c r="Q93" s="22">
        <f t="shared" si="44"/>
        <v>0</v>
      </c>
      <c r="R93" s="22">
        <f t="shared" si="45"/>
        <v>0</v>
      </c>
      <c r="S93" s="22">
        <f t="shared" si="46"/>
        <v>0</v>
      </c>
      <c r="T93" s="22">
        <f t="shared" si="47"/>
        <v>0</v>
      </c>
      <c r="U93" s="22">
        <f t="shared" si="48"/>
        <v>0</v>
      </c>
      <c r="W93" s="22">
        <f t="shared" si="49"/>
        <v>0</v>
      </c>
      <c r="X93" s="22">
        <f t="shared" si="50"/>
        <v>0</v>
      </c>
      <c r="Y93" s="22">
        <f t="shared" si="51"/>
        <v>0</v>
      </c>
      <c r="Z93" s="22">
        <f t="shared" si="52"/>
        <v>4888</v>
      </c>
      <c r="AA93" s="22">
        <f t="shared" si="53"/>
        <v>0</v>
      </c>
      <c r="AB93" s="22">
        <f t="shared" si="54"/>
        <v>1686.5950000000003</v>
      </c>
    </row>
    <row r="94" spans="1:28">
      <c r="B94" s="11" t="s">
        <v>39</v>
      </c>
      <c r="C94">
        <f t="shared" si="39"/>
        <v>908.12</v>
      </c>
      <c r="D94">
        <f t="shared" si="39"/>
        <v>2705</v>
      </c>
      <c r="E94" s="14">
        <f>Tables!G58</f>
        <v>22</v>
      </c>
      <c r="F94" s="22">
        <f t="shared" si="40"/>
        <v>0</v>
      </c>
      <c r="G94" s="22">
        <f t="shared" si="40"/>
        <v>0</v>
      </c>
      <c r="H94" s="22">
        <f t="shared" si="40"/>
        <v>0</v>
      </c>
      <c r="I94" s="22">
        <f t="shared" si="40"/>
        <v>11.440000000000001</v>
      </c>
      <c r="K94" s="18">
        <f t="shared" si="41"/>
        <v>377.13833333333338</v>
      </c>
      <c r="L94" s="18">
        <f t="shared" si="41"/>
        <v>893.33333333333337</v>
      </c>
      <c r="M94" s="399">
        <f t="shared" si="42"/>
        <v>0</v>
      </c>
      <c r="N94" s="18">
        <f t="shared" si="42"/>
        <v>3.9473500000000006</v>
      </c>
      <c r="O94" s="78"/>
      <c r="P94" s="22">
        <f t="shared" si="43"/>
        <v>0</v>
      </c>
      <c r="Q94" s="22">
        <f t="shared" si="44"/>
        <v>0</v>
      </c>
      <c r="R94" s="22">
        <f t="shared" si="45"/>
        <v>0</v>
      </c>
      <c r="S94" s="22">
        <f t="shared" si="46"/>
        <v>0</v>
      </c>
      <c r="T94" s="22">
        <f t="shared" si="47"/>
        <v>0</v>
      </c>
      <c r="U94" s="22">
        <f t="shared" si="48"/>
        <v>0</v>
      </c>
      <c r="W94" s="22">
        <f t="shared" si="49"/>
        <v>0</v>
      </c>
      <c r="X94" s="22">
        <f t="shared" si="50"/>
        <v>0</v>
      </c>
      <c r="Y94" s="22">
        <f t="shared" si="51"/>
        <v>0</v>
      </c>
      <c r="Z94" s="22">
        <f t="shared" si="52"/>
        <v>5376.8</v>
      </c>
      <c r="AA94" s="22">
        <f t="shared" si="53"/>
        <v>0</v>
      </c>
      <c r="AB94" s="22">
        <f t="shared" si="54"/>
        <v>1855.2545000000005</v>
      </c>
    </row>
    <row r="95" spans="1:28">
      <c r="B95" s="12" t="s">
        <v>40</v>
      </c>
      <c r="C95">
        <f t="shared" si="39"/>
        <v>908.12</v>
      </c>
      <c r="D95">
        <f t="shared" si="39"/>
        <v>2705</v>
      </c>
      <c r="E95" s="14">
        <f>Tables!G59</f>
        <v>21</v>
      </c>
      <c r="F95" s="22">
        <f t="shared" si="40"/>
        <v>0</v>
      </c>
      <c r="G95" s="22">
        <f t="shared" si="40"/>
        <v>0</v>
      </c>
      <c r="H95" s="22">
        <f t="shared" si="40"/>
        <v>0</v>
      </c>
      <c r="I95" s="22">
        <f t="shared" si="40"/>
        <v>10.92</v>
      </c>
      <c r="K95" s="18">
        <f t="shared" si="41"/>
        <v>377.13833333333338</v>
      </c>
      <c r="L95" s="18">
        <f t="shared" si="41"/>
        <v>893.33333333333337</v>
      </c>
      <c r="M95" s="399">
        <f t="shared" si="42"/>
        <v>0</v>
      </c>
      <c r="N95" s="18">
        <f t="shared" si="42"/>
        <v>3.7679250000000004</v>
      </c>
      <c r="O95" s="78"/>
      <c r="P95" s="22">
        <f t="shared" si="43"/>
        <v>0</v>
      </c>
      <c r="Q95" s="22">
        <f t="shared" si="44"/>
        <v>0</v>
      </c>
      <c r="R95" s="22">
        <f t="shared" si="45"/>
        <v>0</v>
      </c>
      <c r="S95" s="22">
        <f t="shared" si="46"/>
        <v>0</v>
      </c>
      <c r="T95" s="22">
        <f t="shared" si="47"/>
        <v>0</v>
      </c>
      <c r="U95" s="22">
        <f t="shared" si="48"/>
        <v>0</v>
      </c>
      <c r="W95" s="22">
        <f t="shared" si="49"/>
        <v>0</v>
      </c>
      <c r="X95" s="22">
        <f t="shared" si="50"/>
        <v>0</v>
      </c>
      <c r="Y95" s="22">
        <f t="shared" si="51"/>
        <v>0</v>
      </c>
      <c r="Z95" s="22">
        <f t="shared" si="52"/>
        <v>5023.2000000000007</v>
      </c>
      <c r="AA95" s="22">
        <f t="shared" si="53"/>
        <v>0</v>
      </c>
      <c r="AB95" s="22">
        <f t="shared" si="54"/>
        <v>1733.2455000000002</v>
      </c>
    </row>
    <row r="96" spans="1:28">
      <c r="B96" s="11" t="s">
        <v>7</v>
      </c>
      <c r="C96">
        <f t="shared" si="39"/>
        <v>908.12</v>
      </c>
      <c r="D96">
        <f t="shared" si="39"/>
        <v>2705</v>
      </c>
      <c r="E96" s="14">
        <f>Tables!G60</f>
        <v>22</v>
      </c>
      <c r="F96" s="22">
        <f t="shared" si="40"/>
        <v>0</v>
      </c>
      <c r="G96" s="22">
        <f t="shared" si="40"/>
        <v>0</v>
      </c>
      <c r="H96" s="22">
        <f t="shared" si="40"/>
        <v>0</v>
      </c>
      <c r="I96" s="22">
        <f t="shared" si="40"/>
        <v>11.440000000000001</v>
      </c>
      <c r="K96" s="18">
        <f t="shared" si="41"/>
        <v>377.13833333333338</v>
      </c>
      <c r="L96" s="18">
        <f t="shared" si="41"/>
        <v>893.33333333333337</v>
      </c>
      <c r="M96" s="18">
        <f t="shared" si="42"/>
        <v>0.34723333333333334</v>
      </c>
      <c r="N96" s="18">
        <f t="shared" si="42"/>
        <v>3.9473500000000006</v>
      </c>
      <c r="O96" s="78"/>
      <c r="P96" s="22">
        <f t="shared" si="43"/>
        <v>0</v>
      </c>
      <c r="Q96" s="22">
        <f t="shared" si="44"/>
        <v>0</v>
      </c>
      <c r="R96" s="22">
        <f t="shared" si="45"/>
        <v>0</v>
      </c>
      <c r="S96" s="22">
        <f t="shared" si="46"/>
        <v>0</v>
      </c>
      <c r="T96" s="22">
        <f t="shared" si="47"/>
        <v>0</v>
      </c>
      <c r="U96" s="22">
        <f t="shared" si="48"/>
        <v>0</v>
      </c>
      <c r="W96" s="22">
        <f t="shared" si="49"/>
        <v>0</v>
      </c>
      <c r="X96" s="22">
        <f t="shared" si="50"/>
        <v>0</v>
      </c>
      <c r="Y96" s="22">
        <f t="shared" si="51"/>
        <v>0</v>
      </c>
      <c r="Z96" s="22">
        <f t="shared" si="52"/>
        <v>5720</v>
      </c>
      <c r="AA96" s="22">
        <f t="shared" si="53"/>
        <v>173.61666666666667</v>
      </c>
      <c r="AB96" s="22">
        <f t="shared" si="54"/>
        <v>1973.6750000000004</v>
      </c>
    </row>
    <row r="97" spans="2:28">
      <c r="B97" s="12" t="s">
        <v>41</v>
      </c>
      <c r="C97">
        <f t="shared" si="39"/>
        <v>908.12</v>
      </c>
      <c r="D97">
        <f t="shared" si="39"/>
        <v>2705</v>
      </c>
      <c r="E97" s="14">
        <f>Tables!G61</f>
        <v>21</v>
      </c>
      <c r="F97" s="22">
        <f t="shared" si="40"/>
        <v>7.1882999999999999</v>
      </c>
      <c r="G97" s="22">
        <f t="shared" si="40"/>
        <v>14.510999999999999</v>
      </c>
      <c r="H97" s="22">
        <f t="shared" si="40"/>
        <v>0</v>
      </c>
      <c r="I97" s="22">
        <f t="shared" si="40"/>
        <v>0</v>
      </c>
      <c r="K97" s="18">
        <f t="shared" si="41"/>
        <v>377.13833333333338</v>
      </c>
      <c r="L97" s="18">
        <f t="shared" si="41"/>
        <v>893.33333333333337</v>
      </c>
      <c r="M97" s="18">
        <f t="shared" si="42"/>
        <v>0.33145000000000002</v>
      </c>
      <c r="N97" s="18">
        <f t="shared" si="42"/>
        <v>3.7679250000000004</v>
      </c>
      <c r="O97" s="78"/>
      <c r="P97" s="22">
        <f t="shared" si="43"/>
        <v>0</v>
      </c>
      <c r="Q97" s="22">
        <f t="shared" si="44"/>
        <v>0</v>
      </c>
      <c r="R97" s="22">
        <f t="shared" si="45"/>
        <v>0</v>
      </c>
      <c r="S97" s="22">
        <f t="shared" si="46"/>
        <v>0</v>
      </c>
      <c r="T97" s="22">
        <f t="shared" si="47"/>
        <v>0</v>
      </c>
      <c r="U97" s="22">
        <f t="shared" si="48"/>
        <v>0</v>
      </c>
      <c r="W97" s="22">
        <f t="shared" si="49"/>
        <v>3601.3382999999999</v>
      </c>
      <c r="X97" s="22">
        <f t="shared" si="50"/>
        <v>7270.0109999999995</v>
      </c>
      <c r="Y97" s="22">
        <f t="shared" si="51"/>
        <v>0</v>
      </c>
      <c r="Z97" s="22">
        <f t="shared" si="52"/>
        <v>0</v>
      </c>
      <c r="AA97" s="22">
        <f t="shared" si="53"/>
        <v>166.05644999999998</v>
      </c>
      <c r="AB97" s="22">
        <f t="shared" si="54"/>
        <v>1887.7304250000002</v>
      </c>
    </row>
    <row r="98" spans="2:28">
      <c r="B98" s="11" t="s">
        <v>42</v>
      </c>
      <c r="C98">
        <f t="shared" si="39"/>
        <v>908.12</v>
      </c>
      <c r="D98">
        <f t="shared" si="39"/>
        <v>2705</v>
      </c>
      <c r="E98" s="14">
        <f>Tables!G62</f>
        <v>22</v>
      </c>
      <c r="F98" s="22">
        <f t="shared" si="40"/>
        <v>7.5305999999999997</v>
      </c>
      <c r="G98" s="22">
        <f t="shared" si="40"/>
        <v>15.201999999999998</v>
      </c>
      <c r="H98" s="22">
        <f t="shared" si="40"/>
        <v>0</v>
      </c>
      <c r="I98" s="22">
        <f t="shared" si="40"/>
        <v>0</v>
      </c>
      <c r="K98" s="18">
        <f t="shared" si="41"/>
        <v>377.13833333333338</v>
      </c>
      <c r="L98" s="18">
        <f t="shared" si="41"/>
        <v>893.33333333333337</v>
      </c>
      <c r="M98" s="18">
        <f t="shared" si="42"/>
        <v>0.34723333333333334</v>
      </c>
      <c r="N98" s="18">
        <f t="shared" si="42"/>
        <v>3.9473500000000006</v>
      </c>
      <c r="O98" s="78"/>
      <c r="P98" s="22">
        <f t="shared" si="43"/>
        <v>0</v>
      </c>
      <c r="Q98" s="22">
        <f t="shared" si="44"/>
        <v>0</v>
      </c>
      <c r="R98" s="22">
        <f t="shared" si="45"/>
        <v>0</v>
      </c>
      <c r="S98" s="22">
        <f t="shared" si="46"/>
        <v>0</v>
      </c>
      <c r="T98" s="22">
        <f t="shared" si="47"/>
        <v>0</v>
      </c>
      <c r="U98" s="22">
        <f t="shared" si="48"/>
        <v>0</v>
      </c>
      <c r="W98" s="22">
        <f t="shared" si="49"/>
        <v>7538.1305999999995</v>
      </c>
      <c r="X98" s="22">
        <f t="shared" si="50"/>
        <v>15217.201999999997</v>
      </c>
      <c r="Y98" s="22">
        <f t="shared" si="51"/>
        <v>0</v>
      </c>
      <c r="Z98" s="22">
        <f t="shared" si="52"/>
        <v>0</v>
      </c>
      <c r="AA98" s="22">
        <f t="shared" si="53"/>
        <v>347.58056666666664</v>
      </c>
      <c r="AB98" s="22">
        <f t="shared" si="54"/>
        <v>3951.2973500000003</v>
      </c>
    </row>
    <row r="99" spans="2:28">
      <c r="B99" s="12" t="s">
        <v>43</v>
      </c>
      <c r="C99">
        <f t="shared" si="39"/>
        <v>908.12</v>
      </c>
      <c r="D99">
        <f t="shared" si="39"/>
        <v>2705</v>
      </c>
      <c r="E99" s="14">
        <f>Tables!G63</f>
        <v>22</v>
      </c>
      <c r="F99" s="22">
        <f t="shared" si="40"/>
        <v>7.5305999999999997</v>
      </c>
      <c r="G99" s="22">
        <f t="shared" si="40"/>
        <v>15.201999999999998</v>
      </c>
      <c r="H99" s="22">
        <f t="shared" si="40"/>
        <v>0</v>
      </c>
      <c r="I99" s="22">
        <f t="shared" si="40"/>
        <v>0</v>
      </c>
      <c r="K99" s="18">
        <f t="shared" si="41"/>
        <v>377.13833333333338</v>
      </c>
      <c r="L99" s="18">
        <f t="shared" si="41"/>
        <v>893.33333333333337</v>
      </c>
      <c r="M99" s="18">
        <f t="shared" si="42"/>
        <v>0.34723333333333334</v>
      </c>
      <c r="N99" s="18">
        <f t="shared" si="42"/>
        <v>3.9473500000000006</v>
      </c>
      <c r="O99" s="78"/>
      <c r="P99" s="22">
        <f t="shared" si="43"/>
        <v>0</v>
      </c>
      <c r="Q99" s="22">
        <f t="shared" si="44"/>
        <v>0</v>
      </c>
      <c r="R99" s="22">
        <f t="shared" si="45"/>
        <v>0</v>
      </c>
      <c r="S99" s="22">
        <f t="shared" si="46"/>
        <v>0</v>
      </c>
      <c r="T99" s="22">
        <f t="shared" si="47"/>
        <v>0</v>
      </c>
      <c r="U99" s="22">
        <f t="shared" si="48"/>
        <v>0</v>
      </c>
      <c r="W99" s="22">
        <f t="shared" si="49"/>
        <v>3765.3</v>
      </c>
      <c r="X99" s="22">
        <f t="shared" si="50"/>
        <v>7601</v>
      </c>
      <c r="Y99" s="22">
        <f t="shared" si="51"/>
        <v>0</v>
      </c>
      <c r="Z99" s="22">
        <f t="shared" si="52"/>
        <v>0</v>
      </c>
      <c r="AA99" s="22">
        <f t="shared" si="53"/>
        <v>173.61666666666667</v>
      </c>
      <c r="AB99" s="22">
        <f t="shared" si="54"/>
        <v>1973.6750000000004</v>
      </c>
    </row>
    <row r="100" spans="2:28">
      <c r="B100" s="11" t="s">
        <v>44</v>
      </c>
      <c r="C100">
        <f t="shared" si="39"/>
        <v>908.12</v>
      </c>
      <c r="D100">
        <f t="shared" si="39"/>
        <v>2705</v>
      </c>
      <c r="E100" s="14">
        <f>Tables!G64</f>
        <v>21</v>
      </c>
      <c r="F100" s="22">
        <f t="shared" si="40"/>
        <v>7.1882999999999999</v>
      </c>
      <c r="G100" s="22">
        <f t="shared" si="40"/>
        <v>14.510999999999999</v>
      </c>
      <c r="H100" s="22">
        <f t="shared" si="40"/>
        <v>0</v>
      </c>
      <c r="I100" s="22">
        <f t="shared" si="40"/>
        <v>0</v>
      </c>
      <c r="K100" s="18">
        <f t="shared" si="41"/>
        <v>377.13833333333338</v>
      </c>
      <c r="L100" s="18">
        <f t="shared" si="41"/>
        <v>893.33333333333337</v>
      </c>
      <c r="M100" s="18">
        <f t="shared" si="42"/>
        <v>0.33145000000000002</v>
      </c>
      <c r="N100" s="18">
        <f t="shared" si="42"/>
        <v>3.7679250000000004</v>
      </c>
      <c r="O100" s="78"/>
      <c r="P100" s="22">
        <f t="shared" si="43"/>
        <v>0</v>
      </c>
      <c r="Q100" s="22">
        <f t="shared" si="44"/>
        <v>0</v>
      </c>
      <c r="R100" s="22">
        <f t="shared" si="45"/>
        <v>0</v>
      </c>
      <c r="S100" s="22">
        <f t="shared" si="46"/>
        <v>0</v>
      </c>
      <c r="T100" s="22">
        <f t="shared" si="47"/>
        <v>0</v>
      </c>
      <c r="U100" s="22">
        <f t="shared" si="48"/>
        <v>0</v>
      </c>
      <c r="W100" s="22">
        <f t="shared" si="49"/>
        <v>3594.15</v>
      </c>
      <c r="X100" s="22">
        <f t="shared" si="50"/>
        <v>7255.5</v>
      </c>
      <c r="Y100" s="22">
        <f t="shared" si="51"/>
        <v>0</v>
      </c>
      <c r="Z100" s="22">
        <f t="shared" si="52"/>
        <v>0</v>
      </c>
      <c r="AA100" s="22">
        <f t="shared" si="53"/>
        <v>165.72499999999999</v>
      </c>
      <c r="AB100" s="22">
        <f t="shared" si="54"/>
        <v>1883.9625000000003</v>
      </c>
    </row>
    <row r="101" spans="2:28">
      <c r="B101" s="12" t="s">
        <v>45</v>
      </c>
      <c r="C101">
        <f t="shared" si="39"/>
        <v>908.12</v>
      </c>
      <c r="D101">
        <f t="shared" si="39"/>
        <v>2705</v>
      </c>
      <c r="E101" s="14">
        <f>Tables!G65</f>
        <v>22</v>
      </c>
      <c r="F101" s="22">
        <f t="shared" si="40"/>
        <v>0</v>
      </c>
      <c r="G101" s="22">
        <f t="shared" si="40"/>
        <v>0</v>
      </c>
      <c r="H101" s="22">
        <f t="shared" si="40"/>
        <v>0</v>
      </c>
      <c r="I101" s="22">
        <f t="shared" si="40"/>
        <v>11.440000000000001</v>
      </c>
      <c r="K101" s="18">
        <f t="shared" si="41"/>
        <v>377.13833333333338</v>
      </c>
      <c r="L101" s="18">
        <f t="shared" si="41"/>
        <v>893.33333333333337</v>
      </c>
      <c r="M101" s="18">
        <f t="shared" si="42"/>
        <v>0.34723333333333334</v>
      </c>
      <c r="N101" s="18">
        <f t="shared" si="42"/>
        <v>3.9473500000000006</v>
      </c>
      <c r="O101" s="78"/>
      <c r="P101" s="22">
        <f t="shared" si="43"/>
        <v>0</v>
      </c>
      <c r="Q101" s="22">
        <f t="shared" si="44"/>
        <v>0</v>
      </c>
      <c r="R101" s="22">
        <f t="shared" si="45"/>
        <v>0</v>
      </c>
      <c r="S101" s="22">
        <f t="shared" si="46"/>
        <v>0</v>
      </c>
      <c r="T101" s="22">
        <f t="shared" si="47"/>
        <v>0</v>
      </c>
      <c r="U101" s="22">
        <f t="shared" si="48"/>
        <v>0</v>
      </c>
      <c r="W101" s="22">
        <f t="shared" si="49"/>
        <v>0</v>
      </c>
      <c r="X101" s="22">
        <f t="shared" si="50"/>
        <v>0</v>
      </c>
      <c r="Y101" s="22">
        <f t="shared" si="51"/>
        <v>0</v>
      </c>
      <c r="Z101" s="22">
        <f t="shared" si="52"/>
        <v>5262.4000000000005</v>
      </c>
      <c r="AA101" s="22">
        <f t="shared" si="53"/>
        <v>159.72733333333335</v>
      </c>
      <c r="AB101" s="22">
        <f t="shared" si="54"/>
        <v>1815.7810000000004</v>
      </c>
    </row>
    <row r="102" spans="2:28">
      <c r="B102" s="11" t="s">
        <v>46</v>
      </c>
      <c r="C102">
        <f t="shared" si="39"/>
        <v>908.12</v>
      </c>
      <c r="D102">
        <f t="shared" si="39"/>
        <v>2705</v>
      </c>
      <c r="E102" s="14">
        <f>Tables!G66</f>
        <v>21</v>
      </c>
      <c r="F102" s="22">
        <f t="shared" si="40"/>
        <v>0</v>
      </c>
      <c r="G102" s="22">
        <f t="shared" si="40"/>
        <v>0</v>
      </c>
      <c r="H102" s="22">
        <f t="shared" si="40"/>
        <v>0</v>
      </c>
      <c r="I102" s="22">
        <f t="shared" si="40"/>
        <v>10.92</v>
      </c>
      <c r="K102" s="18">
        <f t="shared" si="41"/>
        <v>377.13833333333338</v>
      </c>
      <c r="L102" s="18">
        <f t="shared" si="41"/>
        <v>893.33333333333337</v>
      </c>
      <c r="M102" s="399">
        <f>(M50*M17)*$E102</f>
        <v>0</v>
      </c>
      <c r="N102" s="18">
        <f t="shared" si="42"/>
        <v>3.7679250000000004</v>
      </c>
      <c r="O102" s="78"/>
      <c r="P102" s="22">
        <f t="shared" si="43"/>
        <v>0</v>
      </c>
      <c r="Q102" s="22">
        <f t="shared" si="44"/>
        <v>0</v>
      </c>
      <c r="R102" s="22">
        <f t="shared" si="45"/>
        <v>0</v>
      </c>
      <c r="S102" s="22">
        <f t="shared" si="46"/>
        <v>0</v>
      </c>
      <c r="T102" s="22">
        <f t="shared" si="47"/>
        <v>0</v>
      </c>
      <c r="U102" s="22">
        <f t="shared" si="48"/>
        <v>0</v>
      </c>
      <c r="W102" s="22">
        <f t="shared" si="49"/>
        <v>0</v>
      </c>
      <c r="X102" s="22">
        <f t="shared" si="50"/>
        <v>0</v>
      </c>
      <c r="Y102" s="22">
        <f t="shared" si="51"/>
        <v>0</v>
      </c>
      <c r="Z102" s="22">
        <f t="shared" si="52"/>
        <v>5132.4000000000005</v>
      </c>
      <c r="AA102" s="22">
        <f t="shared" si="53"/>
        <v>0</v>
      </c>
      <c r="AB102" s="22">
        <f t="shared" si="54"/>
        <v>1770.9247500000004</v>
      </c>
    </row>
    <row r="103" spans="2:28">
      <c r="B103" s="12" t="s">
        <v>47</v>
      </c>
      <c r="C103">
        <f t="shared" si="39"/>
        <v>908.12</v>
      </c>
      <c r="D103">
        <f t="shared" si="39"/>
        <v>2705</v>
      </c>
      <c r="E103" s="14">
        <f>Tables!G67</f>
        <v>22</v>
      </c>
      <c r="F103" s="22">
        <f t="shared" si="40"/>
        <v>0</v>
      </c>
      <c r="G103" s="22">
        <f t="shared" si="40"/>
        <v>0</v>
      </c>
      <c r="H103" s="22">
        <f t="shared" si="40"/>
        <v>0</v>
      </c>
      <c r="I103" s="22">
        <f t="shared" si="40"/>
        <v>11.440000000000001</v>
      </c>
      <c r="K103" s="18">
        <f t="shared" si="41"/>
        <v>377.13833333333338</v>
      </c>
      <c r="L103" s="18">
        <f t="shared" si="41"/>
        <v>893.33333333333337</v>
      </c>
      <c r="M103" s="399">
        <f t="shared" si="42"/>
        <v>0</v>
      </c>
      <c r="N103" s="18">
        <f t="shared" si="42"/>
        <v>3.9473500000000006</v>
      </c>
      <c r="O103" s="78"/>
      <c r="P103" s="22">
        <f t="shared" si="43"/>
        <v>0</v>
      </c>
      <c r="Q103" s="22">
        <f t="shared" si="44"/>
        <v>0</v>
      </c>
      <c r="R103" s="22">
        <f t="shared" si="45"/>
        <v>0</v>
      </c>
      <c r="S103" s="22">
        <f t="shared" si="46"/>
        <v>0</v>
      </c>
      <c r="T103" s="22">
        <f t="shared" si="47"/>
        <v>0</v>
      </c>
      <c r="U103" s="22">
        <f t="shared" si="48"/>
        <v>0</v>
      </c>
      <c r="W103" s="22">
        <f t="shared" si="49"/>
        <v>0</v>
      </c>
      <c r="X103" s="22">
        <f t="shared" si="50"/>
        <v>0</v>
      </c>
      <c r="Y103" s="22">
        <f t="shared" si="51"/>
        <v>0</v>
      </c>
      <c r="Z103" s="22">
        <f t="shared" si="52"/>
        <v>5376.8</v>
      </c>
      <c r="AA103" s="22">
        <f t="shared" si="53"/>
        <v>0</v>
      </c>
      <c r="AB103" s="22">
        <f t="shared" si="54"/>
        <v>1855.2545000000005</v>
      </c>
    </row>
    <row r="104" spans="2:28">
      <c r="S104" s="22"/>
      <c r="T104" s="18"/>
      <c r="U104" s="18"/>
    </row>
    <row r="105" spans="2:28">
      <c r="B105" t="s">
        <v>51</v>
      </c>
      <c r="C105" s="131">
        <f>SUM(C92:C104)</f>
        <v>10897.440000000002</v>
      </c>
      <c r="D105" s="131">
        <f t="shared" ref="D105:I105" si="55">SUM(D92:D104)</f>
        <v>32460</v>
      </c>
      <c r="E105" s="15"/>
      <c r="F105" s="131">
        <f t="shared" si="55"/>
        <v>29.437799999999996</v>
      </c>
      <c r="G105" s="131">
        <f t="shared" si="55"/>
        <v>59.425999999999988</v>
      </c>
      <c r="H105" s="131">
        <f t="shared" si="55"/>
        <v>0</v>
      </c>
      <c r="I105" s="131">
        <f t="shared" si="55"/>
        <v>89.44</v>
      </c>
      <c r="K105" s="85">
        <f>SUM(K92:K104)</f>
        <v>4525.6600000000008</v>
      </c>
      <c r="L105" s="85">
        <f>SUM(L92:L104)</f>
        <v>10720</v>
      </c>
      <c r="M105" s="85">
        <f>SUM(M92:M104)</f>
        <v>2.0518333333333332</v>
      </c>
      <c r="N105" s="85">
        <f>SUM(N92:N104)</f>
        <v>46.291650000000004</v>
      </c>
      <c r="O105" s="82"/>
      <c r="P105" s="377">
        <f t="shared" ref="P105:U105" si="56">SUM(P92:P104)</f>
        <v>0</v>
      </c>
      <c r="Q105" s="377">
        <f t="shared" si="56"/>
        <v>0</v>
      </c>
      <c r="R105" s="377">
        <f t="shared" si="56"/>
        <v>0</v>
      </c>
      <c r="S105" s="377">
        <f t="shared" si="56"/>
        <v>0</v>
      </c>
      <c r="T105" s="377">
        <f t="shared" si="56"/>
        <v>0</v>
      </c>
      <c r="U105" s="377">
        <f t="shared" si="56"/>
        <v>0</v>
      </c>
      <c r="W105" s="377">
        <f t="shared" ref="W105:AB105" si="57">SUM(W92:W104)</f>
        <v>18498.918900000001</v>
      </c>
      <c r="X105" s="377">
        <f t="shared" si="57"/>
        <v>37343.712999999996</v>
      </c>
      <c r="Y105" s="377">
        <f t="shared" si="57"/>
        <v>0</v>
      </c>
      <c r="Z105" s="377">
        <f t="shared" si="57"/>
        <v>42156.4</v>
      </c>
      <c r="AA105" s="377">
        <f t="shared" si="57"/>
        <v>1186.3226833333333</v>
      </c>
      <c r="AB105" s="377">
        <f t="shared" si="57"/>
        <v>24242.650025000003</v>
      </c>
    </row>
    <row r="106" spans="2:28">
      <c r="H106" t="s">
        <v>110</v>
      </c>
      <c r="I106" s="84">
        <f>SUM(C105:I105)</f>
        <v>43535.743800000004</v>
      </c>
      <c r="K106" s="16"/>
      <c r="L106" s="16"/>
      <c r="M106" s="22" t="s">
        <v>1</v>
      </c>
      <c r="N106" s="84">
        <f>SUM(K105:N105)</f>
        <v>15294.003483333332</v>
      </c>
      <c r="O106" s="83"/>
      <c r="S106" t="s">
        <v>161</v>
      </c>
      <c r="T106" s="18"/>
      <c r="U106" s="245">
        <f>SUM(P92:U103)</f>
        <v>0</v>
      </c>
      <c r="Z106" t="s">
        <v>169</v>
      </c>
      <c r="AA106" s="18"/>
      <c r="AB106" s="161">
        <f>SUM(W92:AB103)</f>
        <v>123428.00460833333</v>
      </c>
    </row>
    <row r="107" spans="2:28">
      <c r="T107" s="18"/>
      <c r="U107" s="18"/>
    </row>
    <row r="108" spans="2:28">
      <c r="T108" s="18"/>
      <c r="U108" s="18"/>
    </row>
    <row r="109" spans="2:28" ht="13">
      <c r="B109" s="13" t="s">
        <v>258</v>
      </c>
      <c r="T109" s="18"/>
      <c r="U109" s="18"/>
    </row>
    <row r="110" spans="2:28">
      <c r="B110" s="14" t="s">
        <v>111</v>
      </c>
      <c r="P110" s="14" t="s">
        <v>188</v>
      </c>
      <c r="T110" s="18"/>
      <c r="U110" s="18"/>
      <c r="W110" s="14" t="s">
        <v>412</v>
      </c>
    </row>
    <row r="111" spans="2:28">
      <c r="B111" s="11" t="s">
        <v>37</v>
      </c>
      <c r="C111">
        <f t="shared" ref="C111:D122" si="58">C7*C56</f>
        <v>908.12</v>
      </c>
      <c r="D111">
        <f t="shared" si="58"/>
        <v>2705</v>
      </c>
      <c r="E111" s="14">
        <f>Tables!G56</f>
        <v>22</v>
      </c>
      <c r="F111" s="22">
        <f t="shared" ref="F111:I120" si="59">F56*F7*$E111</f>
        <v>0</v>
      </c>
      <c r="G111" s="22">
        <f t="shared" si="59"/>
        <v>0</v>
      </c>
      <c r="H111" s="22">
        <f t="shared" si="59"/>
        <v>0</v>
      </c>
      <c r="I111" s="22">
        <f t="shared" si="59"/>
        <v>2116.4</v>
      </c>
      <c r="K111" s="18">
        <f>K56*K7</f>
        <v>377.13833333333338</v>
      </c>
      <c r="L111" s="22">
        <f>L7*L56</f>
        <v>893.33333333333337</v>
      </c>
      <c r="M111" s="22">
        <f t="shared" ref="M111:N122" si="60">(M56*M7)*$E111</f>
        <v>0</v>
      </c>
      <c r="N111" s="22">
        <f t="shared" si="60"/>
        <v>730.25975000000005</v>
      </c>
      <c r="O111" s="78"/>
      <c r="P111" s="22"/>
      <c r="Q111" s="22"/>
      <c r="R111" s="22"/>
      <c r="S111" s="22"/>
      <c r="T111" s="22"/>
      <c r="U111" s="22"/>
      <c r="W111" s="22"/>
      <c r="X111" s="22"/>
      <c r="Y111" s="22"/>
      <c r="Z111" s="22"/>
      <c r="AA111" s="22"/>
      <c r="AB111" s="22"/>
    </row>
    <row r="112" spans="2:28">
      <c r="B112" s="12" t="s">
        <v>38</v>
      </c>
      <c r="C112">
        <f t="shared" si="58"/>
        <v>908.12</v>
      </c>
      <c r="D112">
        <f t="shared" si="58"/>
        <v>2705</v>
      </c>
      <c r="E112" s="14">
        <f>Tables!G57</f>
        <v>20</v>
      </c>
      <c r="F112" s="22">
        <f t="shared" si="59"/>
        <v>0</v>
      </c>
      <c r="G112" s="22">
        <f t="shared" si="59"/>
        <v>0</v>
      </c>
      <c r="H112" s="22">
        <f t="shared" si="59"/>
        <v>0</v>
      </c>
      <c r="I112" s="22">
        <f t="shared" si="59"/>
        <v>1924</v>
      </c>
      <c r="K112" s="18">
        <f t="shared" ref="K112:K122" si="61">K57*K8</f>
        <v>377.13833333333338</v>
      </c>
      <c r="L112" s="22">
        <f t="shared" ref="L112:L122" si="62">L8*L57</f>
        <v>893.33333333333337</v>
      </c>
      <c r="M112" s="22">
        <f t="shared" si="60"/>
        <v>0</v>
      </c>
      <c r="N112" s="22">
        <f t="shared" si="60"/>
        <v>663.87250000000006</v>
      </c>
      <c r="O112" s="78"/>
      <c r="P112" s="22"/>
      <c r="Q112" s="22"/>
      <c r="R112" s="22"/>
      <c r="S112" s="22"/>
      <c r="T112" s="22"/>
      <c r="U112" s="22"/>
      <c r="W112" s="22"/>
      <c r="X112" s="22"/>
      <c r="Y112" s="22"/>
      <c r="Z112" s="22"/>
      <c r="AA112" s="22"/>
      <c r="AB112" s="22"/>
    </row>
    <row r="113" spans="2:28">
      <c r="B113" s="11" t="s">
        <v>39</v>
      </c>
      <c r="C113">
        <f t="shared" si="58"/>
        <v>908.12</v>
      </c>
      <c r="D113">
        <f t="shared" si="58"/>
        <v>2705</v>
      </c>
      <c r="E113" s="14">
        <f>Tables!G58</f>
        <v>22</v>
      </c>
      <c r="F113" s="22">
        <f t="shared" si="59"/>
        <v>0</v>
      </c>
      <c r="G113" s="22">
        <f t="shared" si="59"/>
        <v>0</v>
      </c>
      <c r="H113" s="22">
        <f t="shared" si="59"/>
        <v>0</v>
      </c>
      <c r="I113" s="22">
        <f t="shared" si="59"/>
        <v>2116.4</v>
      </c>
      <c r="K113" s="18">
        <f t="shared" si="61"/>
        <v>377.13833333333338</v>
      </c>
      <c r="L113" s="22">
        <f t="shared" si="62"/>
        <v>893.33333333333337</v>
      </c>
      <c r="M113" s="22">
        <f t="shared" si="60"/>
        <v>0</v>
      </c>
      <c r="N113" s="22">
        <f t="shared" si="60"/>
        <v>730.25975000000005</v>
      </c>
      <c r="O113" s="78"/>
      <c r="P113" s="22"/>
      <c r="Q113" s="22"/>
      <c r="R113" s="22"/>
      <c r="S113" s="22"/>
      <c r="T113" s="22"/>
      <c r="U113" s="22"/>
      <c r="W113" s="22"/>
      <c r="X113" s="22"/>
      <c r="Y113" s="22"/>
      <c r="Z113" s="22"/>
      <c r="AA113" s="22"/>
      <c r="AB113" s="22"/>
    </row>
    <row r="114" spans="2:28">
      <c r="B114" s="12" t="s">
        <v>40</v>
      </c>
      <c r="C114">
        <f t="shared" si="58"/>
        <v>908.12</v>
      </c>
      <c r="D114">
        <f t="shared" si="58"/>
        <v>2705</v>
      </c>
      <c r="E114" s="14">
        <f>Tables!G59</f>
        <v>21</v>
      </c>
      <c r="F114" s="22">
        <f t="shared" si="59"/>
        <v>0</v>
      </c>
      <c r="G114" s="22">
        <f t="shared" si="59"/>
        <v>0</v>
      </c>
      <c r="H114" s="22">
        <f t="shared" si="59"/>
        <v>0</v>
      </c>
      <c r="I114" s="22">
        <f t="shared" si="59"/>
        <v>1911</v>
      </c>
      <c r="K114" s="18">
        <f t="shared" si="61"/>
        <v>377.13833333333338</v>
      </c>
      <c r="L114" s="22">
        <f t="shared" si="62"/>
        <v>893.33333333333337</v>
      </c>
      <c r="M114" s="22">
        <f t="shared" si="60"/>
        <v>0</v>
      </c>
      <c r="N114" s="22">
        <f t="shared" si="60"/>
        <v>659.38687500000015</v>
      </c>
      <c r="O114" s="78"/>
      <c r="P114" s="22"/>
      <c r="Q114" s="22"/>
      <c r="R114" s="22"/>
      <c r="S114" s="22"/>
      <c r="T114" s="22"/>
      <c r="U114" s="22"/>
      <c r="W114" s="22"/>
      <c r="X114" s="22"/>
      <c r="Y114" s="22"/>
      <c r="Z114" s="22"/>
      <c r="AA114" s="22"/>
      <c r="AB114" s="22"/>
    </row>
    <row r="115" spans="2:28">
      <c r="B115" s="11" t="s">
        <v>7</v>
      </c>
      <c r="C115">
        <f t="shared" si="58"/>
        <v>908.12</v>
      </c>
      <c r="D115">
        <f t="shared" si="58"/>
        <v>2705</v>
      </c>
      <c r="E115" s="14">
        <f>Tables!G60</f>
        <v>22</v>
      </c>
      <c r="F115" s="22">
        <f t="shared" si="59"/>
        <v>0</v>
      </c>
      <c r="G115" s="22">
        <f t="shared" si="59"/>
        <v>0</v>
      </c>
      <c r="H115" s="22">
        <f t="shared" si="59"/>
        <v>0</v>
      </c>
      <c r="I115" s="22">
        <f t="shared" si="59"/>
        <v>2116.4</v>
      </c>
      <c r="K115" s="18">
        <f t="shared" si="61"/>
        <v>377.13833333333338</v>
      </c>
      <c r="L115" s="22">
        <f t="shared" si="62"/>
        <v>893.33333333333337</v>
      </c>
      <c r="M115" s="22">
        <f t="shared" si="60"/>
        <v>64.238166666666658</v>
      </c>
      <c r="N115" s="22">
        <f t="shared" si="60"/>
        <v>730.25975000000005</v>
      </c>
      <c r="O115" s="78"/>
      <c r="P115" s="22"/>
      <c r="Q115" s="22"/>
      <c r="R115" s="22"/>
      <c r="S115" s="22"/>
      <c r="T115" s="22"/>
      <c r="U115" s="22"/>
      <c r="W115" s="22"/>
      <c r="X115" s="22"/>
      <c r="Y115" s="22"/>
      <c r="Z115" s="22"/>
      <c r="AA115" s="22"/>
      <c r="AB115" s="22"/>
    </row>
    <row r="116" spans="2:28">
      <c r="B116" s="12" t="s">
        <v>41</v>
      </c>
      <c r="C116">
        <f t="shared" si="58"/>
        <v>908.12</v>
      </c>
      <c r="D116">
        <f t="shared" si="58"/>
        <v>2705</v>
      </c>
      <c r="E116" s="14">
        <f>Tables!G61</f>
        <v>21</v>
      </c>
      <c r="F116" s="22">
        <f t="shared" si="59"/>
        <v>1337.0237999999999</v>
      </c>
      <c r="G116" s="22">
        <f t="shared" si="59"/>
        <v>2699.0459999999998</v>
      </c>
      <c r="H116" s="22">
        <f t="shared" si="59"/>
        <v>0</v>
      </c>
      <c r="I116" s="22">
        <f t="shared" si="59"/>
        <v>0</v>
      </c>
      <c r="K116" s="18">
        <f t="shared" si="61"/>
        <v>377.13833333333338</v>
      </c>
      <c r="L116" s="22">
        <f t="shared" si="62"/>
        <v>893.33333333333337</v>
      </c>
      <c r="M116" s="22">
        <f t="shared" si="60"/>
        <v>61.649700000000003</v>
      </c>
      <c r="N116" s="22">
        <f t="shared" si="60"/>
        <v>700.83405000000016</v>
      </c>
      <c r="O116" s="78"/>
      <c r="P116" s="22"/>
      <c r="Q116" s="22"/>
      <c r="R116" s="22"/>
      <c r="S116" s="22"/>
      <c r="T116" s="22"/>
      <c r="U116" s="22"/>
      <c r="W116" s="22"/>
      <c r="X116" s="22"/>
      <c r="Y116" s="22"/>
      <c r="Z116" s="22"/>
      <c r="AA116" s="22"/>
      <c r="AB116" s="22"/>
    </row>
    <row r="117" spans="2:28">
      <c r="B117" s="11" t="s">
        <v>42</v>
      </c>
      <c r="C117">
        <f t="shared" si="58"/>
        <v>908.12</v>
      </c>
      <c r="D117">
        <f t="shared" si="58"/>
        <v>2705</v>
      </c>
      <c r="E117" s="14">
        <f>Tables!G62</f>
        <v>22</v>
      </c>
      <c r="F117" s="22">
        <f t="shared" si="59"/>
        <v>5165.9916000000003</v>
      </c>
      <c r="G117" s="22">
        <f t="shared" si="59"/>
        <v>10428.571999999998</v>
      </c>
      <c r="H117" s="22">
        <f t="shared" si="59"/>
        <v>0</v>
      </c>
      <c r="I117" s="22">
        <f t="shared" si="59"/>
        <v>0</v>
      </c>
      <c r="K117" s="18">
        <f t="shared" si="61"/>
        <v>377.13833333333338</v>
      </c>
      <c r="L117" s="22">
        <f t="shared" si="62"/>
        <v>893.33333333333337</v>
      </c>
      <c r="M117" s="22">
        <f t="shared" si="60"/>
        <v>238.20206666666667</v>
      </c>
      <c r="N117" s="22">
        <f t="shared" si="60"/>
        <v>2707.8821000000007</v>
      </c>
      <c r="O117" s="78"/>
      <c r="P117" s="22"/>
      <c r="Q117" s="22"/>
      <c r="R117" s="22"/>
      <c r="S117" s="22"/>
      <c r="T117" s="22"/>
      <c r="U117" s="22"/>
      <c r="W117" s="22"/>
      <c r="X117" s="22"/>
      <c r="Y117" s="22"/>
      <c r="Z117" s="22"/>
      <c r="AA117" s="22"/>
      <c r="AB117" s="22"/>
    </row>
    <row r="118" spans="2:28">
      <c r="B118" s="12" t="s">
        <v>43</v>
      </c>
      <c r="C118">
        <f t="shared" si="58"/>
        <v>908.12</v>
      </c>
      <c r="D118">
        <f t="shared" si="58"/>
        <v>2705</v>
      </c>
      <c r="E118" s="14">
        <f>Tables!G63</f>
        <v>22</v>
      </c>
      <c r="F118" s="22">
        <f t="shared" si="59"/>
        <v>1393.1610000000001</v>
      </c>
      <c r="G118" s="22">
        <f t="shared" si="59"/>
        <v>2812.37</v>
      </c>
      <c r="H118" s="22">
        <f t="shared" si="59"/>
        <v>0</v>
      </c>
      <c r="I118" s="22">
        <f t="shared" si="59"/>
        <v>0</v>
      </c>
      <c r="K118" s="18">
        <f t="shared" si="61"/>
        <v>377.13833333333338</v>
      </c>
      <c r="L118" s="22">
        <f t="shared" si="62"/>
        <v>893.33333333333337</v>
      </c>
      <c r="M118" s="22">
        <f t="shared" si="60"/>
        <v>64.238166666666658</v>
      </c>
      <c r="N118" s="22">
        <f t="shared" si="60"/>
        <v>730.25975000000005</v>
      </c>
      <c r="O118" s="78"/>
      <c r="P118" s="22"/>
      <c r="Q118" s="22"/>
      <c r="R118" s="22"/>
      <c r="S118" s="22"/>
      <c r="T118" s="22"/>
      <c r="U118" s="22"/>
      <c r="W118" s="22"/>
      <c r="X118" s="22"/>
      <c r="Y118" s="22"/>
      <c r="Z118" s="22"/>
      <c r="AA118" s="22"/>
      <c r="AB118" s="22"/>
    </row>
    <row r="119" spans="2:28">
      <c r="B119" s="11" t="s">
        <v>44</v>
      </c>
      <c r="C119">
        <f t="shared" si="58"/>
        <v>908.12</v>
      </c>
      <c r="D119">
        <f t="shared" si="58"/>
        <v>2705</v>
      </c>
      <c r="E119" s="14">
        <f>Tables!G64</f>
        <v>21</v>
      </c>
      <c r="F119" s="22">
        <f t="shared" si="59"/>
        <v>1329.8354999999999</v>
      </c>
      <c r="G119" s="22">
        <f t="shared" si="59"/>
        <v>2684.5349999999999</v>
      </c>
      <c r="H119" s="22">
        <f t="shared" si="59"/>
        <v>0</v>
      </c>
      <c r="I119" s="22">
        <f t="shared" si="59"/>
        <v>0</v>
      </c>
      <c r="K119" s="18">
        <f t="shared" si="61"/>
        <v>377.13833333333338</v>
      </c>
      <c r="L119" s="22">
        <f t="shared" si="62"/>
        <v>893.33333333333337</v>
      </c>
      <c r="M119" s="22">
        <f t="shared" si="60"/>
        <v>61.318249999999999</v>
      </c>
      <c r="N119" s="22">
        <f t="shared" si="60"/>
        <v>697.06612500000006</v>
      </c>
      <c r="O119" s="78"/>
      <c r="P119" s="22"/>
      <c r="Q119" s="22"/>
      <c r="R119" s="22"/>
      <c r="S119" s="22"/>
      <c r="T119" s="22"/>
      <c r="U119" s="22"/>
      <c r="W119" s="22"/>
      <c r="X119" s="22"/>
      <c r="Y119" s="22"/>
      <c r="Z119" s="22"/>
      <c r="AA119" s="22"/>
      <c r="AB119" s="22"/>
    </row>
    <row r="120" spans="2:28">
      <c r="B120" s="12" t="s">
        <v>45</v>
      </c>
      <c r="C120">
        <f t="shared" si="58"/>
        <v>908.12</v>
      </c>
      <c r="D120">
        <f t="shared" si="58"/>
        <v>2705</v>
      </c>
      <c r="E120" s="14">
        <f>Tables!G65</f>
        <v>22</v>
      </c>
      <c r="F120" s="22">
        <f t="shared" si="59"/>
        <v>0</v>
      </c>
      <c r="G120" s="22">
        <f t="shared" si="59"/>
        <v>0</v>
      </c>
      <c r="H120" s="22">
        <f t="shared" si="59"/>
        <v>0</v>
      </c>
      <c r="I120" s="22">
        <f t="shared" si="59"/>
        <v>2002</v>
      </c>
      <c r="K120" s="18">
        <f t="shared" si="61"/>
        <v>377.13833333333338</v>
      </c>
      <c r="L120" s="22">
        <f t="shared" si="62"/>
        <v>893.33333333333337</v>
      </c>
      <c r="M120" s="22">
        <f t="shared" si="60"/>
        <v>60.765833333333333</v>
      </c>
      <c r="N120" s="22">
        <f t="shared" si="60"/>
        <v>690.78625000000011</v>
      </c>
      <c r="O120" s="78"/>
      <c r="P120" s="22"/>
      <c r="Q120" s="22"/>
      <c r="R120" s="22"/>
      <c r="S120" s="22"/>
      <c r="T120" s="22"/>
      <c r="U120" s="22"/>
      <c r="W120" s="22"/>
      <c r="X120" s="22"/>
      <c r="Y120" s="22"/>
      <c r="Z120" s="22"/>
      <c r="AA120" s="22"/>
      <c r="AB120" s="22"/>
    </row>
    <row r="121" spans="2:28">
      <c r="B121" s="11" t="s">
        <v>46</v>
      </c>
      <c r="C121">
        <f t="shared" si="58"/>
        <v>908.12</v>
      </c>
      <c r="D121">
        <f t="shared" si="58"/>
        <v>2705</v>
      </c>
      <c r="E121" s="14">
        <f>Tables!G66</f>
        <v>21</v>
      </c>
      <c r="F121" s="22">
        <f t="shared" ref="F121:I122" si="63">F66*F17*$E121</f>
        <v>0</v>
      </c>
      <c r="G121" s="22">
        <f t="shared" si="63"/>
        <v>0</v>
      </c>
      <c r="H121" s="22">
        <f t="shared" si="63"/>
        <v>0</v>
      </c>
      <c r="I121" s="22">
        <f t="shared" si="63"/>
        <v>2020.2</v>
      </c>
      <c r="K121" s="18">
        <f t="shared" si="61"/>
        <v>377.13833333333338</v>
      </c>
      <c r="L121" s="22">
        <f t="shared" si="62"/>
        <v>893.33333333333337</v>
      </c>
      <c r="M121" s="22">
        <f t="shared" si="60"/>
        <v>0</v>
      </c>
      <c r="N121" s="22">
        <f t="shared" si="60"/>
        <v>697.06612500000006</v>
      </c>
      <c r="O121" s="78"/>
      <c r="P121" s="22"/>
      <c r="Q121" s="22"/>
      <c r="R121" s="22"/>
      <c r="S121" s="22"/>
      <c r="T121" s="22"/>
      <c r="U121" s="22"/>
      <c r="W121" s="22"/>
      <c r="X121" s="22"/>
      <c r="Y121" s="22"/>
      <c r="Z121" s="22"/>
      <c r="AA121" s="22"/>
      <c r="AB121" s="22"/>
    </row>
    <row r="122" spans="2:28">
      <c r="B122" s="12" t="s">
        <v>47</v>
      </c>
      <c r="C122">
        <f t="shared" si="58"/>
        <v>908.12</v>
      </c>
      <c r="D122">
        <f t="shared" si="58"/>
        <v>2705</v>
      </c>
      <c r="E122" s="14">
        <f>Tables!G67</f>
        <v>22</v>
      </c>
      <c r="F122" s="22">
        <f t="shared" si="63"/>
        <v>0</v>
      </c>
      <c r="G122" s="22">
        <f t="shared" si="63"/>
        <v>0</v>
      </c>
      <c r="H122" s="22">
        <f t="shared" si="63"/>
        <v>0</v>
      </c>
      <c r="I122" s="22">
        <f t="shared" si="63"/>
        <v>2116.4</v>
      </c>
      <c r="K122" s="18">
        <f t="shared" si="61"/>
        <v>377.13833333333338</v>
      </c>
      <c r="L122" s="22">
        <f t="shared" si="62"/>
        <v>893.33333333333337</v>
      </c>
      <c r="M122" s="22">
        <f t="shared" si="60"/>
        <v>0</v>
      </c>
      <c r="N122" s="22">
        <f t="shared" si="60"/>
        <v>730.25975000000005</v>
      </c>
      <c r="O122" s="78"/>
      <c r="P122" s="22"/>
      <c r="Q122" s="22"/>
      <c r="R122" s="22"/>
      <c r="S122" s="22"/>
      <c r="T122" s="22"/>
      <c r="U122" s="22"/>
      <c r="W122" s="22"/>
      <c r="X122" s="22"/>
      <c r="Y122" s="22"/>
      <c r="Z122" s="22"/>
      <c r="AA122" s="22"/>
      <c r="AB122" s="22"/>
    </row>
    <row r="123" spans="2:28">
      <c r="S123" s="22"/>
      <c r="T123" s="18"/>
      <c r="U123" s="18"/>
    </row>
    <row r="124" spans="2:28">
      <c r="B124" t="s">
        <v>51</v>
      </c>
      <c r="C124" s="131">
        <f>SUM(C111:C123)</f>
        <v>10897.440000000002</v>
      </c>
      <c r="D124" s="131">
        <f>SUM(D111:D123)</f>
        <v>32460</v>
      </c>
      <c r="E124" s="15"/>
      <c r="F124" s="131">
        <f>SUM(F111:F123)</f>
        <v>9226.0118999999995</v>
      </c>
      <c r="G124" s="131">
        <f>SUM(G111:G123)</f>
        <v>18624.522999999997</v>
      </c>
      <c r="H124" s="131">
        <f>SUM(H111:H123)</f>
        <v>0</v>
      </c>
      <c r="I124" s="131">
        <f>SUM(I111:I123)</f>
        <v>16322.800000000001</v>
      </c>
      <c r="K124" s="85">
        <f>SUM(K111:K123)</f>
        <v>4525.6600000000008</v>
      </c>
      <c r="L124" s="85">
        <f>SUM(L111:L123)</f>
        <v>10720</v>
      </c>
      <c r="M124" s="85">
        <f>SUM(M111:M123)</f>
        <v>550.41218333333325</v>
      </c>
      <c r="N124" s="85">
        <f>SUM(N111:N123)</f>
        <v>10468.192775</v>
      </c>
      <c r="O124" s="82"/>
      <c r="P124" s="125">
        <f t="shared" ref="P124:U124" si="64">SUM(P111:P123)</f>
        <v>0</v>
      </c>
      <c r="Q124" s="125">
        <f t="shared" si="64"/>
        <v>0</v>
      </c>
      <c r="R124" s="125">
        <f t="shared" si="64"/>
        <v>0</v>
      </c>
      <c r="S124" s="125">
        <f t="shared" si="64"/>
        <v>0</v>
      </c>
      <c r="T124" s="125">
        <f t="shared" si="64"/>
        <v>0</v>
      </c>
      <c r="U124" s="125">
        <f t="shared" si="64"/>
        <v>0</v>
      </c>
      <c r="W124" s="125">
        <f t="shared" ref="W124:AB124" si="65">SUM(W111:W123)</f>
        <v>0</v>
      </c>
      <c r="X124" s="125">
        <f t="shared" si="65"/>
        <v>0</v>
      </c>
      <c r="Y124" s="125">
        <f t="shared" si="65"/>
        <v>0</v>
      </c>
      <c r="Z124" s="125">
        <f t="shared" si="65"/>
        <v>0</v>
      </c>
      <c r="AA124" s="125">
        <f t="shared" si="65"/>
        <v>0</v>
      </c>
      <c r="AB124" s="125">
        <f t="shared" si="65"/>
        <v>0</v>
      </c>
    </row>
    <row r="125" spans="2:28">
      <c r="H125" s="219" t="s">
        <v>275</v>
      </c>
      <c r="I125" s="84">
        <f>SUM(C124:I124)</f>
        <v>87530.774900000004</v>
      </c>
      <c r="K125" s="16"/>
      <c r="L125" s="16"/>
      <c r="M125" s="22" t="s">
        <v>1</v>
      </c>
      <c r="N125" s="84">
        <f>SUM(K124:N124)</f>
        <v>26264.264958333333</v>
      </c>
      <c r="O125" s="83"/>
      <c r="S125" t="s">
        <v>161</v>
      </c>
      <c r="T125" s="18"/>
      <c r="U125" s="375">
        <f>SUM(P111:U122)</f>
        <v>0</v>
      </c>
      <c r="Z125" t="s">
        <v>169</v>
      </c>
      <c r="AA125" s="18"/>
      <c r="AB125" s="375">
        <f>SUM(W111:AB122)</f>
        <v>0</v>
      </c>
    </row>
    <row r="126" spans="2:28">
      <c r="T126" s="18"/>
      <c r="U126" s="18"/>
    </row>
    <row r="127" spans="2:28">
      <c r="I127" s="125"/>
      <c r="T127" s="18"/>
      <c r="U127" s="18"/>
    </row>
    <row r="128" spans="2:28">
      <c r="T128" s="18"/>
      <c r="U128" s="18"/>
    </row>
    <row r="129" spans="20:21">
      <c r="T129" s="18"/>
      <c r="U129" s="18"/>
    </row>
    <row r="130" spans="20:21">
      <c r="T130" s="18"/>
      <c r="U130" s="18"/>
    </row>
    <row r="131" spans="20:21">
      <c r="T131" s="18"/>
      <c r="U131" s="18"/>
    </row>
    <row r="132" spans="20:21">
      <c r="T132" s="18"/>
      <c r="U132" s="18"/>
    </row>
    <row r="133" spans="20:21">
      <c r="T133" s="18"/>
      <c r="U133" s="18"/>
    </row>
    <row r="134" spans="20:21">
      <c r="T134" s="18"/>
      <c r="U134" s="18"/>
    </row>
    <row r="135" spans="20:21">
      <c r="T135" s="18"/>
      <c r="U135" s="18"/>
    </row>
    <row r="136" spans="20:21">
      <c r="T136" s="18"/>
      <c r="U136" s="18"/>
    </row>
    <row r="137" spans="20:21">
      <c r="T137" s="18"/>
      <c r="U137" s="18"/>
    </row>
    <row r="138" spans="20:21">
      <c r="T138" s="18"/>
      <c r="U138" s="18"/>
    </row>
    <row r="139" spans="20:21">
      <c r="T139" s="18"/>
      <c r="U139" s="18"/>
    </row>
    <row r="140" spans="20:21">
      <c r="T140" s="18"/>
      <c r="U140" s="18"/>
    </row>
    <row r="141" spans="20:21">
      <c r="T141" s="18"/>
      <c r="U141" s="18"/>
    </row>
    <row r="142" spans="20:21">
      <c r="T142" s="18"/>
      <c r="U142" s="18"/>
    </row>
    <row r="143" spans="20:21">
      <c r="T143" s="18"/>
      <c r="U143" s="18"/>
    </row>
    <row r="144" spans="20:21">
      <c r="T144" s="18"/>
      <c r="U144" s="18"/>
    </row>
    <row r="145" spans="20:21">
      <c r="T145" s="18"/>
      <c r="U145" s="18"/>
    </row>
    <row r="146" spans="20:21">
      <c r="T146" s="18"/>
      <c r="U146" s="18"/>
    </row>
    <row r="147" spans="20:21">
      <c r="T147" s="18"/>
      <c r="U147" s="18"/>
    </row>
    <row r="148" spans="20:21">
      <c r="T148" s="18"/>
      <c r="U148" s="18"/>
    </row>
    <row r="149" spans="20:21">
      <c r="T149" s="18"/>
      <c r="U149" s="18"/>
    </row>
    <row r="150" spans="20:21">
      <c r="T150" s="18"/>
      <c r="U150" s="18"/>
    </row>
    <row r="151" spans="20:21">
      <c r="T151" s="18"/>
      <c r="U151" s="18"/>
    </row>
    <row r="152" spans="20:21">
      <c r="T152" s="18"/>
      <c r="U152" s="18"/>
    </row>
    <row r="153" spans="20:21">
      <c r="T153" s="18"/>
      <c r="U153" s="18"/>
    </row>
    <row r="154" spans="20:21">
      <c r="T154" s="18"/>
      <c r="U154" s="18"/>
    </row>
    <row r="155" spans="20:21">
      <c r="T155" s="18"/>
      <c r="U155" s="18"/>
    </row>
    <row r="156" spans="20:21">
      <c r="T156" s="18"/>
      <c r="U156" s="18"/>
    </row>
    <row r="157" spans="20:21">
      <c r="T157" s="18"/>
      <c r="U157" s="18"/>
    </row>
    <row r="158" spans="20:21">
      <c r="T158" s="18"/>
      <c r="U158" s="18"/>
    </row>
    <row r="159" spans="20:21">
      <c r="T159" s="18"/>
      <c r="U159" s="18"/>
    </row>
    <row r="160" spans="20:21">
      <c r="T160" s="18"/>
      <c r="U160" s="18"/>
    </row>
    <row r="161" spans="20:21">
      <c r="T161" s="18"/>
      <c r="U161" s="18"/>
    </row>
    <row r="162" spans="20:21">
      <c r="T162" s="18"/>
      <c r="U162" s="18"/>
    </row>
    <row r="163" spans="20:21">
      <c r="T163" s="18"/>
      <c r="U163" s="18"/>
    </row>
    <row r="164" spans="20:21">
      <c r="T164" s="18"/>
      <c r="U164" s="18"/>
    </row>
    <row r="165" spans="20:21">
      <c r="T165" s="18"/>
      <c r="U165" s="18"/>
    </row>
    <row r="166" spans="20:21">
      <c r="T166" s="18"/>
      <c r="U166" s="18"/>
    </row>
    <row r="167" spans="20:21">
      <c r="T167" s="18"/>
      <c r="U167" s="18"/>
    </row>
    <row r="168" spans="20:21">
      <c r="T168" s="18"/>
      <c r="U168" s="18"/>
    </row>
    <row r="169" spans="20:21">
      <c r="T169" s="18"/>
      <c r="U169" s="18"/>
    </row>
    <row r="170" spans="20:21">
      <c r="T170" s="18"/>
      <c r="U170" s="18"/>
    </row>
    <row r="171" spans="20:21">
      <c r="T171" s="18"/>
      <c r="U171" s="18"/>
    </row>
    <row r="172" spans="20:21">
      <c r="T172" s="18"/>
      <c r="U172" s="18"/>
    </row>
    <row r="173" spans="20:21">
      <c r="T173" s="18"/>
      <c r="U173" s="18"/>
    </row>
    <row r="174" spans="20:21">
      <c r="T174" s="18"/>
      <c r="U174" s="18"/>
    </row>
    <row r="175" spans="20:21">
      <c r="T175" s="18"/>
      <c r="U175" s="18"/>
    </row>
    <row r="176" spans="20:21">
      <c r="T176" s="18"/>
      <c r="U176" s="18"/>
    </row>
    <row r="177" spans="20:21">
      <c r="T177" s="18"/>
      <c r="U177" s="18"/>
    </row>
    <row r="178" spans="20:21">
      <c r="T178" s="18"/>
      <c r="U178" s="18"/>
    </row>
    <row r="179" spans="20:21">
      <c r="T179" s="18"/>
      <c r="U179" s="18"/>
    </row>
    <row r="180" spans="20:21">
      <c r="T180" s="18"/>
      <c r="U180" s="18"/>
    </row>
    <row r="181" spans="20:21">
      <c r="T181" s="18"/>
      <c r="U181" s="18"/>
    </row>
    <row r="182" spans="20:21">
      <c r="T182" s="18"/>
      <c r="U182" s="18"/>
    </row>
    <row r="183" spans="20:21">
      <c r="T183" s="18"/>
      <c r="U183" s="18"/>
    </row>
    <row r="184" spans="20:21">
      <c r="T184" s="18"/>
      <c r="U184" s="18"/>
    </row>
    <row r="185" spans="20:21">
      <c r="T185" s="18"/>
      <c r="U185" s="18"/>
    </row>
    <row r="186" spans="20:21">
      <c r="T186" s="18"/>
      <c r="U186" s="18"/>
    </row>
    <row r="187" spans="20:21">
      <c r="T187" s="18"/>
      <c r="U187" s="18"/>
    </row>
    <row r="188" spans="20:21">
      <c r="T188" s="18"/>
      <c r="U188" s="18"/>
    </row>
    <row r="189" spans="20:21">
      <c r="T189" s="18"/>
      <c r="U189" s="18"/>
    </row>
    <row r="190" spans="20:21">
      <c r="T190" s="18"/>
      <c r="U190" s="18"/>
    </row>
    <row r="191" spans="20:21">
      <c r="T191" s="18"/>
      <c r="U191" s="18"/>
    </row>
    <row r="192" spans="20:21">
      <c r="T192" s="18"/>
      <c r="U192" s="18"/>
    </row>
    <row r="193" spans="20:21">
      <c r="T193" s="18"/>
      <c r="U193" s="18"/>
    </row>
    <row r="194" spans="20:21">
      <c r="T194" s="18"/>
      <c r="U194" s="18"/>
    </row>
    <row r="195" spans="20:21">
      <c r="T195" s="18"/>
      <c r="U195" s="18"/>
    </row>
    <row r="196" spans="20:21">
      <c r="T196" s="18"/>
      <c r="U196" s="18"/>
    </row>
    <row r="197" spans="20:21">
      <c r="T197" s="18"/>
      <c r="U197" s="18"/>
    </row>
    <row r="198" spans="20:21">
      <c r="T198" s="18"/>
      <c r="U198" s="18"/>
    </row>
    <row r="199" spans="20:21">
      <c r="T199" s="18"/>
      <c r="U199" s="18"/>
    </row>
    <row r="200" spans="20:21">
      <c r="T200" s="18"/>
      <c r="U200" s="18"/>
    </row>
    <row r="201" spans="20:21">
      <c r="T201" s="18"/>
      <c r="U201" s="18"/>
    </row>
    <row r="202" spans="20:21">
      <c r="T202" s="18"/>
      <c r="U202" s="18"/>
    </row>
    <row r="203" spans="20:21">
      <c r="T203" s="18"/>
      <c r="U203" s="18"/>
    </row>
    <row r="204" spans="20:21">
      <c r="T204" s="18"/>
      <c r="U204" s="18"/>
    </row>
    <row r="205" spans="20:21">
      <c r="T205" s="18"/>
      <c r="U205" s="18"/>
    </row>
    <row r="206" spans="20:21">
      <c r="T206" s="18"/>
      <c r="U206" s="18"/>
    </row>
    <row r="207" spans="20:21">
      <c r="T207" s="18"/>
      <c r="U207" s="18"/>
    </row>
    <row r="208" spans="20:21">
      <c r="T208" s="18"/>
      <c r="U208" s="18"/>
    </row>
    <row r="209" spans="20:21">
      <c r="T209" s="18"/>
      <c r="U209" s="18"/>
    </row>
    <row r="210" spans="20:21">
      <c r="T210" s="18"/>
      <c r="U210" s="18"/>
    </row>
    <row r="211" spans="20:21">
      <c r="T211" s="18"/>
      <c r="U211" s="18"/>
    </row>
    <row r="212" spans="20:21">
      <c r="T212" s="18"/>
      <c r="U212" s="18"/>
    </row>
    <row r="213" spans="20:21">
      <c r="T213" s="18"/>
      <c r="U213" s="18"/>
    </row>
    <row r="214" spans="20:21">
      <c r="T214" s="18"/>
      <c r="U214" s="18"/>
    </row>
    <row r="215" spans="20:21">
      <c r="T215" s="18"/>
      <c r="U215" s="18"/>
    </row>
    <row r="216" spans="20:21">
      <c r="T216" s="18"/>
      <c r="U216" s="18"/>
    </row>
    <row r="217" spans="20:21">
      <c r="T217" s="18"/>
      <c r="U217" s="18"/>
    </row>
    <row r="218" spans="20:21">
      <c r="T218" s="18"/>
      <c r="U218" s="18"/>
    </row>
    <row r="219" spans="20:21">
      <c r="T219" s="18"/>
      <c r="U219" s="18"/>
    </row>
    <row r="220" spans="20:21">
      <c r="T220" s="18"/>
      <c r="U220" s="18"/>
    </row>
    <row r="221" spans="20:21">
      <c r="T221" s="18"/>
      <c r="U221" s="18"/>
    </row>
    <row r="222" spans="20:21">
      <c r="T222" s="18"/>
      <c r="U222" s="18"/>
    </row>
    <row r="223" spans="20:21">
      <c r="T223" s="18"/>
      <c r="U223" s="18"/>
    </row>
    <row r="224" spans="20:21">
      <c r="T224" s="18"/>
      <c r="U224" s="18"/>
    </row>
    <row r="225" spans="20:21">
      <c r="T225" s="18"/>
      <c r="U225" s="18"/>
    </row>
    <row r="226" spans="20:21">
      <c r="T226" s="18"/>
      <c r="U226" s="18"/>
    </row>
    <row r="227" spans="20:21">
      <c r="T227" s="18"/>
      <c r="U227" s="18"/>
    </row>
    <row r="228" spans="20:21">
      <c r="T228" s="18"/>
      <c r="U228" s="18"/>
    </row>
    <row r="229" spans="20:21">
      <c r="T229" s="18"/>
      <c r="U229" s="18"/>
    </row>
    <row r="230" spans="20:21">
      <c r="T230" s="18"/>
      <c r="U230" s="18"/>
    </row>
    <row r="231" spans="20:21">
      <c r="T231" s="18"/>
      <c r="U231" s="18"/>
    </row>
    <row r="232" spans="20:21">
      <c r="T232" s="18"/>
      <c r="U232" s="18"/>
    </row>
    <row r="233" spans="20:21">
      <c r="T233" s="18"/>
      <c r="U233" s="18"/>
    </row>
    <row r="234" spans="20:21">
      <c r="T234" s="18"/>
      <c r="U234" s="18"/>
    </row>
    <row r="235" spans="20:21">
      <c r="T235" s="18"/>
      <c r="U235" s="18"/>
    </row>
    <row r="236" spans="20:21">
      <c r="T236" s="18"/>
      <c r="U236" s="18"/>
    </row>
    <row r="237" spans="20:21">
      <c r="T237" s="18"/>
      <c r="U237" s="18"/>
    </row>
    <row r="238" spans="20:21">
      <c r="T238" s="18"/>
      <c r="U238" s="18"/>
    </row>
    <row r="239" spans="20:21">
      <c r="T239" s="18"/>
      <c r="U239" s="18"/>
    </row>
    <row r="240" spans="20:21">
      <c r="T240" s="18"/>
      <c r="U240" s="18"/>
    </row>
    <row r="241" spans="20:21">
      <c r="T241" s="18"/>
      <c r="U241" s="18"/>
    </row>
    <row r="242" spans="20:21">
      <c r="T242" s="18"/>
      <c r="U242" s="18"/>
    </row>
    <row r="243" spans="20:21">
      <c r="T243" s="18"/>
      <c r="U243" s="18"/>
    </row>
    <row r="244" spans="20:21">
      <c r="T244" s="18"/>
      <c r="U244" s="18"/>
    </row>
    <row r="245" spans="20:21">
      <c r="T245" s="18"/>
      <c r="U245" s="18"/>
    </row>
    <row r="246" spans="20:21">
      <c r="T246" s="18"/>
      <c r="U246" s="18"/>
    </row>
    <row r="247" spans="20:21">
      <c r="T247" s="18"/>
      <c r="U247" s="18"/>
    </row>
    <row r="248" spans="20:21">
      <c r="T248" s="18"/>
      <c r="U248" s="18"/>
    </row>
    <row r="249" spans="20:21">
      <c r="T249" s="18"/>
      <c r="U249" s="18"/>
    </row>
    <row r="250" spans="20:21">
      <c r="T250" s="18"/>
      <c r="U250" s="18"/>
    </row>
    <row r="251" spans="20:21">
      <c r="T251" s="18"/>
      <c r="U251" s="18"/>
    </row>
    <row r="252" spans="20:21">
      <c r="T252" s="18"/>
      <c r="U252" s="18"/>
    </row>
    <row r="253" spans="20:21">
      <c r="T253" s="18"/>
      <c r="U253" s="18"/>
    </row>
    <row r="254" spans="20:21">
      <c r="T254" s="18"/>
      <c r="U254" s="18"/>
    </row>
    <row r="255" spans="20:21">
      <c r="T255" s="18"/>
      <c r="U255" s="18"/>
    </row>
    <row r="256" spans="20:21">
      <c r="T256" s="18"/>
      <c r="U256" s="18"/>
    </row>
    <row r="259" spans="20:21">
      <c r="T259" s="18"/>
      <c r="U259" s="18"/>
    </row>
    <row r="260" spans="20:21">
      <c r="T260" s="18"/>
      <c r="U260" s="18"/>
    </row>
    <row r="261" spans="20:21">
      <c r="T261" s="18"/>
      <c r="U261" s="18"/>
    </row>
    <row r="262" spans="20:21">
      <c r="T262" s="18"/>
      <c r="U262" s="18"/>
    </row>
    <row r="263" spans="20:21">
      <c r="T263" s="18"/>
      <c r="U263" s="18"/>
    </row>
    <row r="264" spans="20:21">
      <c r="T264" s="18"/>
      <c r="U264" s="18"/>
    </row>
    <row r="265" spans="20:21">
      <c r="T265" s="18"/>
      <c r="U265" s="18"/>
    </row>
    <row r="266" spans="20:21">
      <c r="T266" s="18"/>
      <c r="U266" s="18"/>
    </row>
    <row r="267" spans="20:21">
      <c r="T267" s="18"/>
      <c r="U267" s="18"/>
    </row>
    <row r="268" spans="20:21">
      <c r="T268" s="18"/>
      <c r="U268" s="18"/>
    </row>
    <row r="269" spans="20:21">
      <c r="T269" s="18"/>
      <c r="U269" s="18"/>
    </row>
    <row r="270" spans="20:21">
      <c r="T270" s="18"/>
      <c r="U270" s="18"/>
    </row>
    <row r="271" spans="20:21">
      <c r="T271" s="18"/>
      <c r="U271" s="18"/>
    </row>
    <row r="272" spans="20:21">
      <c r="T272" s="18"/>
      <c r="U272" s="18"/>
    </row>
    <row r="273" spans="20:21">
      <c r="T273" s="18"/>
      <c r="U273" s="18"/>
    </row>
    <row r="274" spans="20:21">
      <c r="T274" s="18"/>
      <c r="U274" s="18"/>
    </row>
    <row r="275" spans="20:21">
      <c r="T275" s="18"/>
      <c r="U275" s="18"/>
    </row>
    <row r="276" spans="20:21">
      <c r="T276" s="18"/>
      <c r="U276" s="18"/>
    </row>
    <row r="277" spans="20:21">
      <c r="T277" s="18"/>
      <c r="U277" s="18"/>
    </row>
    <row r="278" spans="20:21">
      <c r="T278" s="18"/>
      <c r="U278" s="18"/>
    </row>
    <row r="279" spans="20:21">
      <c r="T279" s="18"/>
      <c r="U279" s="18"/>
    </row>
    <row r="280" spans="20:21">
      <c r="T280" s="18"/>
      <c r="U280" s="18"/>
    </row>
    <row r="281" spans="20:21">
      <c r="T281" s="18"/>
      <c r="U281" s="18"/>
    </row>
    <row r="282" spans="20:21">
      <c r="T282" s="18"/>
      <c r="U282" s="18"/>
    </row>
    <row r="283" spans="20:21">
      <c r="T283" s="18"/>
      <c r="U283" s="18"/>
    </row>
    <row r="284" spans="20:21">
      <c r="T284" s="18"/>
      <c r="U284" s="18"/>
    </row>
    <row r="285" spans="20:21">
      <c r="T285" s="18"/>
      <c r="U285" s="18"/>
    </row>
    <row r="286" spans="20:21">
      <c r="T286" s="18"/>
      <c r="U286" s="18"/>
    </row>
    <row r="287" spans="20:21">
      <c r="T287" s="18"/>
      <c r="U287" s="18"/>
    </row>
    <row r="288" spans="20:21">
      <c r="T288" s="18"/>
      <c r="U288" s="18"/>
    </row>
    <row r="289" spans="20:21">
      <c r="T289" s="18"/>
      <c r="U289" s="18"/>
    </row>
    <row r="290" spans="20:21">
      <c r="T290" s="18"/>
      <c r="U290" s="18"/>
    </row>
    <row r="291" spans="20:21">
      <c r="T291" s="18"/>
      <c r="U291" s="18"/>
    </row>
    <row r="292" spans="20:21">
      <c r="T292" s="18"/>
      <c r="U292" s="18"/>
    </row>
    <row r="293" spans="20:21">
      <c r="T293" s="18"/>
      <c r="U293" s="18"/>
    </row>
    <row r="294" spans="20:21">
      <c r="T294" s="18"/>
      <c r="U294" s="18"/>
    </row>
    <row r="295" spans="20:21">
      <c r="T295" s="18"/>
      <c r="U295" s="18"/>
    </row>
    <row r="296" spans="20:21">
      <c r="T296" s="18"/>
      <c r="U296" s="18"/>
    </row>
    <row r="297" spans="20:21">
      <c r="T297" s="18"/>
      <c r="U297" s="18"/>
    </row>
    <row r="298" spans="20:21">
      <c r="T298" s="18"/>
      <c r="U298" s="18"/>
    </row>
    <row r="299" spans="20:21">
      <c r="T299" s="18"/>
      <c r="U299" s="18"/>
    </row>
    <row r="300" spans="20:21">
      <c r="T300" s="18"/>
      <c r="U300" s="18"/>
    </row>
    <row r="301" spans="20:21">
      <c r="T301" s="18"/>
      <c r="U301" s="18"/>
    </row>
    <row r="302" spans="20:21">
      <c r="T302" s="18"/>
      <c r="U302" s="18"/>
    </row>
    <row r="303" spans="20:21">
      <c r="T303" s="18"/>
      <c r="U303" s="18"/>
    </row>
    <row r="304" spans="20:21">
      <c r="T304" s="18"/>
      <c r="U304" s="18"/>
    </row>
    <row r="305" spans="20:21">
      <c r="T305" s="18"/>
      <c r="U305" s="18"/>
    </row>
    <row r="306" spans="20:21">
      <c r="T306" s="18"/>
      <c r="U306" s="18"/>
    </row>
    <row r="307" spans="20:21">
      <c r="T307" s="18"/>
      <c r="U307" s="18"/>
    </row>
    <row r="308" spans="20:21">
      <c r="T308" s="18"/>
      <c r="U308" s="18"/>
    </row>
    <row r="309" spans="20:21">
      <c r="T309" s="18"/>
      <c r="U309" s="18"/>
    </row>
    <row r="310" spans="20:21">
      <c r="T310" s="18"/>
      <c r="U310" s="18"/>
    </row>
    <row r="311" spans="20:21">
      <c r="T311" s="18"/>
      <c r="U311" s="18"/>
    </row>
    <row r="312" spans="20:21">
      <c r="T312" s="18"/>
      <c r="U312" s="18"/>
    </row>
    <row r="313" spans="20:21">
      <c r="T313" s="18"/>
      <c r="U313" s="18"/>
    </row>
    <row r="314" spans="20:21">
      <c r="T314" s="18"/>
      <c r="U314" s="18"/>
    </row>
    <row r="315" spans="20:21">
      <c r="T315" s="18"/>
      <c r="U315" s="18"/>
    </row>
    <row r="316" spans="20:21">
      <c r="T316" s="18"/>
      <c r="U316" s="18"/>
    </row>
    <row r="317" spans="20:21">
      <c r="T317" s="18"/>
      <c r="U317" s="18"/>
    </row>
    <row r="318" spans="20:21">
      <c r="T318" s="18"/>
      <c r="U318" s="18"/>
    </row>
    <row r="319" spans="20:21">
      <c r="T319" s="18"/>
      <c r="U319" s="18"/>
    </row>
    <row r="320" spans="20:21">
      <c r="T320" s="18"/>
      <c r="U320" s="18"/>
    </row>
    <row r="321" spans="20:21">
      <c r="T321" s="18"/>
      <c r="U321" s="18"/>
    </row>
    <row r="322" spans="20:21">
      <c r="T322" s="18"/>
      <c r="U322" s="18"/>
    </row>
    <row r="323" spans="20:21">
      <c r="T323" s="18"/>
      <c r="U323" s="18"/>
    </row>
    <row r="324" spans="20:21">
      <c r="T324" s="18"/>
      <c r="U324" s="18"/>
    </row>
    <row r="325" spans="20:21">
      <c r="T325" s="18"/>
      <c r="U325" s="18"/>
    </row>
    <row r="326" spans="20:21">
      <c r="T326" s="18"/>
      <c r="U326" s="18"/>
    </row>
    <row r="327" spans="20:21">
      <c r="T327" s="18"/>
      <c r="U327" s="18"/>
    </row>
    <row r="328" spans="20:21">
      <c r="T328" s="18"/>
      <c r="U328" s="18"/>
    </row>
    <row r="329" spans="20:21">
      <c r="T329" s="18"/>
      <c r="U329" s="18"/>
    </row>
    <row r="330" spans="20:21">
      <c r="T330" s="18"/>
      <c r="U330" s="18"/>
    </row>
    <row r="331" spans="20:21">
      <c r="T331" s="18"/>
      <c r="U331" s="18"/>
    </row>
    <row r="332" spans="20:21">
      <c r="T332" s="18"/>
      <c r="U332" s="18"/>
    </row>
    <row r="333" spans="20:21">
      <c r="T333" s="18"/>
      <c r="U333" s="18"/>
    </row>
    <row r="334" spans="20:21">
      <c r="T334" s="18"/>
      <c r="U334" s="18"/>
    </row>
    <row r="335" spans="20:21">
      <c r="T335" s="18"/>
      <c r="U335" s="18"/>
    </row>
    <row r="336" spans="20:21">
      <c r="T336" s="18"/>
      <c r="U336" s="18"/>
    </row>
    <row r="337" spans="20:21">
      <c r="T337" s="18"/>
      <c r="U337" s="18"/>
    </row>
    <row r="338" spans="20:21">
      <c r="T338" s="18"/>
      <c r="U338" s="18"/>
    </row>
    <row r="339" spans="20:21">
      <c r="T339" s="18"/>
      <c r="U339" s="18"/>
    </row>
    <row r="340" spans="20:21">
      <c r="T340" s="18"/>
      <c r="U340" s="18"/>
    </row>
    <row r="341" spans="20:21">
      <c r="T341" s="18"/>
      <c r="U341" s="18"/>
    </row>
    <row r="342" spans="20:21">
      <c r="T342" s="18"/>
      <c r="U342" s="18"/>
    </row>
    <row r="343" spans="20:21">
      <c r="T343" s="18"/>
      <c r="U343" s="18"/>
    </row>
    <row r="344" spans="20:21">
      <c r="T344" s="18"/>
      <c r="U344" s="18"/>
    </row>
    <row r="345" spans="20:21">
      <c r="T345" s="18"/>
      <c r="U345" s="18"/>
    </row>
    <row r="346" spans="20:21">
      <c r="T346" s="18"/>
      <c r="U346" s="18"/>
    </row>
    <row r="347" spans="20:21">
      <c r="T347" s="18"/>
      <c r="U347" s="18"/>
    </row>
    <row r="348" spans="20:21">
      <c r="T348" s="18"/>
      <c r="U348" s="18"/>
    </row>
    <row r="349" spans="20:21">
      <c r="T349" s="18"/>
      <c r="U349" s="18"/>
    </row>
    <row r="350" spans="20:21">
      <c r="T350" s="18"/>
      <c r="U350" s="18"/>
    </row>
    <row r="351" spans="20:21">
      <c r="T351" s="18"/>
      <c r="U351" s="18"/>
    </row>
    <row r="352" spans="20:21">
      <c r="T352" s="18"/>
      <c r="U352" s="18"/>
    </row>
  </sheetData>
  <mergeCells count="5">
    <mergeCell ref="M72:N72"/>
    <mergeCell ref="F21:G21"/>
    <mergeCell ref="H21:I21"/>
    <mergeCell ref="F4:G4"/>
    <mergeCell ref="H4:I4"/>
  </mergeCells>
  <phoneticPr fontId="0" type="noConversion"/>
  <pageMargins left="0.5" right="0.5" top="1" bottom="1" header="0.5" footer="0.5"/>
  <pageSetup scale="69" fitToWidth="2" fitToHeight="0" orientation="landscape"/>
  <headerFooter>
    <oddHeader>&amp;C&amp;"Arial,Bold"ConEd_Est_v1</oddHeader>
    <oddFooter>&amp;C&amp;"Arial,Bold"&amp;A&amp;RPage &amp;P</oddFooter>
  </headerFooter>
  <rowBreaks count="2" manualBreakCount="2">
    <brk id="52" max="27" man="1"/>
    <brk id="106" max="27" man="1"/>
  </rowBreaks>
  <colBreaks count="1" manualBreakCount="1">
    <brk id="14" max="133" man="1"/>
  </colBreaks>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A1:N38"/>
  <sheetViews>
    <sheetView view="pageLayout" zoomScale="115" zoomScaleSheetLayoutView="115" workbookViewId="0"/>
  </sheetViews>
  <sheetFormatPr baseColWidth="10" defaultColWidth="9.1640625" defaultRowHeight="12" x14ac:dyDescent="0"/>
  <cols>
    <col min="1" max="16384" width="9.1640625" style="247"/>
  </cols>
  <sheetData>
    <row r="1" spans="1:14" s="19" customFormat="1">
      <c r="A1" s="63" t="s">
        <v>229</v>
      </c>
    </row>
    <row r="2" spans="1:14" s="19" customFormat="1" ht="12.75" customHeight="1"/>
    <row r="3" spans="1:14" s="19" customFormat="1" ht="12.75" customHeight="1">
      <c r="A3" s="336" t="s">
        <v>361</v>
      </c>
      <c r="B3" s="19" t="s">
        <v>400</v>
      </c>
      <c r="L3" s="223"/>
      <c r="N3" s="223"/>
    </row>
    <row r="4" spans="1:14" s="19" customFormat="1" ht="12.75" customHeight="1">
      <c r="A4" s="337" t="s">
        <v>362</v>
      </c>
      <c r="B4" s="19" t="s">
        <v>363</v>
      </c>
      <c r="L4" s="223"/>
      <c r="N4" s="223"/>
    </row>
    <row r="5" spans="1:14" s="19" customFormat="1" ht="12.75" customHeight="1">
      <c r="A5" s="338" t="s">
        <v>364</v>
      </c>
      <c r="B5" s="19" t="s">
        <v>365</v>
      </c>
      <c r="L5" s="223"/>
      <c r="N5" s="223"/>
    </row>
    <row r="6" spans="1:14" s="19" customFormat="1" ht="12.75" customHeight="1">
      <c r="A6" s="340" t="s">
        <v>368</v>
      </c>
      <c r="B6" s="19" t="s">
        <v>369</v>
      </c>
      <c r="L6" s="223"/>
      <c r="N6" s="223"/>
    </row>
    <row r="7" spans="1:14" s="19" customFormat="1" ht="12.75" customHeight="1">
      <c r="A7" s="435" t="s">
        <v>409</v>
      </c>
      <c r="B7" s="19" t="s">
        <v>410</v>
      </c>
      <c r="L7" s="223"/>
      <c r="N7" s="223"/>
    </row>
    <row r="8" spans="1:14" s="19" customFormat="1" ht="12.75" customHeight="1">
      <c r="A8" s="435"/>
      <c r="L8" s="223"/>
      <c r="N8" s="223"/>
    </row>
    <row r="9" spans="1:14" s="19" customFormat="1">
      <c r="A9" s="63" t="s">
        <v>133</v>
      </c>
      <c r="L9" s="223"/>
      <c r="N9" s="223"/>
    </row>
    <row r="10" spans="1:14" s="19" customFormat="1">
      <c r="A10" s="63"/>
      <c r="B10" s="19" t="s">
        <v>149</v>
      </c>
      <c r="L10" s="223"/>
      <c r="N10" s="223"/>
    </row>
    <row r="11" spans="1:14" s="19" customFormat="1">
      <c r="B11" s="19" t="s">
        <v>96</v>
      </c>
      <c r="L11" s="223"/>
      <c r="N11" s="223"/>
    </row>
    <row r="12" spans="1:14" s="19" customFormat="1">
      <c r="B12" s="19" t="s">
        <v>97</v>
      </c>
      <c r="L12" s="223"/>
      <c r="N12" s="223"/>
    </row>
    <row r="13" spans="1:14" s="19" customFormat="1">
      <c r="B13" s="19" t="s">
        <v>407</v>
      </c>
      <c r="L13" s="223"/>
      <c r="N13" s="223"/>
    </row>
    <row r="14" spans="1:14" s="19" customFormat="1">
      <c r="B14" s="19" t="s">
        <v>408</v>
      </c>
      <c r="L14" s="223"/>
      <c r="N14" s="223"/>
    </row>
    <row r="15" spans="1:14" s="19" customFormat="1">
      <c r="B15" s="19" t="s">
        <v>98</v>
      </c>
      <c r="L15" s="223"/>
      <c r="N15" s="223"/>
    </row>
    <row r="16" spans="1:14" s="19" customFormat="1">
      <c r="B16" s="19" t="s">
        <v>193</v>
      </c>
      <c r="L16" s="223"/>
      <c r="N16" s="223"/>
    </row>
    <row r="17" spans="1:14" s="19" customFormat="1">
      <c r="B17" s="19" t="s">
        <v>99</v>
      </c>
      <c r="L17" s="223"/>
      <c r="N17" s="223"/>
    </row>
    <row r="18" spans="1:14" s="19" customFormat="1">
      <c r="B18" s="19" t="s">
        <v>354</v>
      </c>
      <c r="L18" s="223"/>
      <c r="N18" s="223"/>
    </row>
    <row r="19" spans="1:14" s="19" customFormat="1">
      <c r="B19" s="19" t="s">
        <v>173</v>
      </c>
      <c r="L19" s="223"/>
      <c r="N19" s="223"/>
    </row>
    <row r="20" spans="1:14" s="19" customFormat="1">
      <c r="B20" s="19" t="s">
        <v>194</v>
      </c>
    </row>
    <row r="21" spans="1:14" s="19" customFormat="1">
      <c r="B21" s="19" t="s">
        <v>399</v>
      </c>
    </row>
    <row r="22" spans="1:14" s="19" customFormat="1">
      <c r="B22" s="19" t="s">
        <v>401</v>
      </c>
    </row>
    <row r="23" spans="1:14" s="19" customFormat="1">
      <c r="L23" s="14"/>
    </row>
    <row r="24" spans="1:14" s="19" customFormat="1">
      <c r="A24" s="19" t="s">
        <v>197</v>
      </c>
      <c r="L24" s="14"/>
    </row>
    <row r="25" spans="1:14" s="19" customFormat="1">
      <c r="B25" s="19" t="s">
        <v>398</v>
      </c>
      <c r="L25" s="14"/>
    </row>
    <row r="26" spans="1:14" s="19" customFormat="1">
      <c r="L26" s="14"/>
    </row>
    <row r="27" spans="1:14" s="19" customFormat="1">
      <c r="A27" s="19" t="s">
        <v>228</v>
      </c>
      <c r="L27" s="14"/>
    </row>
    <row r="28" spans="1:14" s="19" customFormat="1">
      <c r="B28" s="19" t="s">
        <v>227</v>
      </c>
      <c r="L28" s="14"/>
    </row>
    <row r="29" spans="1:14" s="19" customFormat="1">
      <c r="A29" s="1"/>
    </row>
    <row r="30" spans="1:14" s="19" customFormat="1">
      <c r="A30" s="17" t="s">
        <v>175</v>
      </c>
    </row>
    <row r="31" spans="1:14" s="19" customFormat="1">
      <c r="A31" s="19" t="s">
        <v>176</v>
      </c>
    </row>
    <row r="32" spans="1:14" s="19" customFormat="1">
      <c r="A32" s="19" t="s">
        <v>177</v>
      </c>
    </row>
    <row r="33" spans="1:11" s="19" customFormat="1">
      <c r="A33" s="19" t="s">
        <v>178</v>
      </c>
    </row>
    <row r="34" spans="1:11" s="19" customFormat="1">
      <c r="A34" s="505" t="s">
        <v>179</v>
      </c>
      <c r="B34" s="505"/>
      <c r="C34" s="505"/>
      <c r="D34" s="505"/>
      <c r="E34" s="505"/>
      <c r="F34" s="505"/>
      <c r="G34" s="505"/>
      <c r="H34" s="505"/>
      <c r="I34" s="505"/>
      <c r="J34" s="505"/>
      <c r="K34" s="505"/>
    </row>
    <row r="35" spans="1:11" s="19" customFormat="1" ht="25.5" customHeight="1">
      <c r="A35" s="504" t="s">
        <v>180</v>
      </c>
      <c r="B35" s="504"/>
      <c r="C35" s="504"/>
      <c r="D35" s="504"/>
      <c r="E35" s="504"/>
      <c r="F35" s="504"/>
      <c r="G35" s="504"/>
      <c r="H35" s="504"/>
      <c r="I35" s="504"/>
      <c r="J35" s="504"/>
      <c r="K35" s="422"/>
    </row>
    <row r="36" spans="1:11" s="19" customFormat="1" ht="12.75" customHeight="1">
      <c r="A36" s="504" t="s">
        <v>181</v>
      </c>
      <c r="B36" s="504"/>
      <c r="C36" s="504"/>
      <c r="D36" s="504"/>
      <c r="E36" s="504"/>
      <c r="F36" s="504"/>
      <c r="G36" s="504"/>
      <c r="H36" s="504"/>
      <c r="I36" s="504"/>
      <c r="J36" s="504"/>
      <c r="K36" s="422"/>
    </row>
    <row r="37" spans="1:11" s="19" customFormat="1" ht="24.75" customHeight="1">
      <c r="A37" s="504" t="s">
        <v>182</v>
      </c>
      <c r="B37" s="504"/>
      <c r="C37" s="504"/>
      <c r="D37" s="504"/>
      <c r="E37" s="504"/>
      <c r="F37" s="504"/>
      <c r="G37" s="504"/>
      <c r="H37" s="504"/>
      <c r="I37" s="504"/>
      <c r="J37" s="504"/>
      <c r="K37" s="422"/>
    </row>
    <row r="38" spans="1:11" s="19" customFormat="1" ht="24.75" customHeight="1">
      <c r="A38" s="504" t="s">
        <v>183</v>
      </c>
      <c r="B38" s="504"/>
      <c r="C38" s="504"/>
      <c r="D38" s="504"/>
      <c r="E38" s="504"/>
      <c r="F38" s="504"/>
      <c r="G38" s="504"/>
      <c r="H38" s="504"/>
      <c r="I38" s="504"/>
      <c r="J38" s="504"/>
      <c r="K38" s="422"/>
    </row>
  </sheetData>
  <mergeCells count="5">
    <mergeCell ref="A38:J38"/>
    <mergeCell ref="A34:K34"/>
    <mergeCell ref="A35:J35"/>
    <mergeCell ref="A36:J36"/>
    <mergeCell ref="A37:J37"/>
  </mergeCells>
  <phoneticPr fontId="0" type="noConversion"/>
  <pageMargins left="0.5" right="0.5" top="0.75" bottom="0.75" header="0.5" footer="0.5"/>
  <pageSetup scale="98" orientation="portrait"/>
  <rowBreaks count="1" manualBreakCount="1">
    <brk id="28" max="9" man="1"/>
  </rowBreaks>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Inputs &amp; Outputs</vt:lpstr>
      <vt:lpstr>Tables</vt:lpstr>
      <vt:lpstr>CHP &amp; Energy</vt:lpstr>
      <vt:lpstr>OASC</vt:lpstr>
      <vt:lpstr>Standby</vt:lpstr>
      <vt:lpstr>Issues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Young</dc:creator>
  <cp:lastModifiedBy>Gabriel Terrizzi</cp:lastModifiedBy>
  <cp:lastPrinted>2008-06-03T18:23:19Z</cp:lastPrinted>
  <dcterms:created xsi:type="dcterms:W3CDTF">2005-07-29T17:43:01Z</dcterms:created>
  <dcterms:modified xsi:type="dcterms:W3CDTF">2018-01-29T17:33:37Z</dcterms:modified>
</cp:coreProperties>
</file>